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SHL-GAS" sheetId="1" r:id="rId1"/>
  </sheets>
  <definedNames>
    <definedName name="_C">'4METASHL-GAS'!$F$95:$F$95</definedName>
    <definedName name="A">'4METASHL-GAS'!$E$29:$E$29</definedName>
    <definedName name="AREA">'4METASHL-GAS'!$I$120:$I$120</definedName>
    <definedName name="AREAG">'4METASHL-GAS'!$G$140:$G$140</definedName>
    <definedName name="BASE">'4METASHL-GAS'!$F$51:$F$51</definedName>
    <definedName name="BG">'4METASHL-GAS'!$H$142:$H$142</definedName>
    <definedName name="BHT">'4METASHL-GAS'!$I$38:$I$38</definedName>
    <definedName name="BHTDEPTH">'4METASHL-GAS'!$I$39:$I$39</definedName>
    <definedName name="BO">'4METASHL-GAS'!$E$120:$E$120</definedName>
    <definedName name="CAL">'4METASHL-GAS'!$F$59:$F$59</definedName>
    <definedName name="CPERM">'4METASHL-GAS'!$F$105:$F$105</definedName>
    <definedName name="D">'4METASHL-GAS'!$F$96:$F$96</definedName>
    <definedName name="DELT">'4METASHL-GAS'!$F$55:$F$55</definedName>
    <definedName name="DELTMA">'4METASHL-GAS'!$I$80:$I$80</definedName>
    <definedName name="DELTSH">'4METASHL-GAS'!$F$22:$F$22</definedName>
    <definedName name="DELTW">'4METASHL-GAS'!$F$80:$F$80</definedName>
    <definedName name="DENS">'4METASHL-GAS'!$C$48:$C$48</definedName>
    <definedName name="DENSHY">'4METASHL-GAS'!$E$159:$E$159</definedName>
    <definedName name="DENSMA">'4METASHL-GAS'!$I$159:$I$159</definedName>
    <definedName name="DENSSH">'4METASHL-GAS'!$G$159:$G$159</definedName>
    <definedName name="DENSW">'4METASHL-GAS'!$K$159:$K$159</definedName>
    <definedName name="DEPTH">'4METASHL-GAS'!$F$39:$F$39</definedName>
    <definedName name="DPERM">'4METASHL-GAS'!$I$105:$I$105</definedName>
    <definedName name="E">'4METASHL-GAS'!$F$97:$F$97</definedName>
    <definedName name="EPERM">'4METASHL-GAS'!$L$105:$L$105</definedName>
    <definedName name="FT">'4METASHL-GAS'!$H$43:$H$43</definedName>
    <definedName name="GR">'4METASHL-GAS'!$F$56:$F$56</definedName>
    <definedName name="GR_0">'4METASHL-GAS'!$F$16:$F$16</definedName>
    <definedName name="GR_100">'4METASHL-GAS'!$F$17:$F$17</definedName>
    <definedName name="GRAD">'4METASHL-GAS'!$H$42:$H$42</definedName>
    <definedName name="HPV">'4METASHL-GAS'!$F$113:$F$113</definedName>
    <definedName name="KBUCKL">'4METASHL-GAS'!$H$102:$H$102</definedName>
    <definedName name="KH">'4METASHL-GAS'!$F$114:$F$114</definedName>
    <definedName name="KT_1">'4METASHL-GAS'!$L$40:$L$40</definedName>
    <definedName name="KT_2">'4METASHL-GAS'!$J$139:$J$139</definedName>
    <definedName name="KV_1">'4METASHL-GAS'!$K$126:$K$126</definedName>
    <definedName name="KV_2">'4METASHL-GAS'!$J$147:$J$147</definedName>
    <definedName name="KV_3">'4METASHL-GAS'!$K$120:$K$120</definedName>
    <definedName name="KV_4">'4METASHL-GAS'!$J$140:$J$140</definedName>
    <definedName name="KY_2">'4METASHL-GAS'!$J$147:$J$147</definedName>
    <definedName name="M">'4METASHL-GAS'!$G$29:$G$29</definedName>
    <definedName name="N">'4METASHL-GAS'!$I$29:$I$29</definedName>
    <definedName name="NETPAY">'4METASHL-GAS'!$F$115:$F$115</definedName>
    <definedName name="PE">'4METASHL-GAS'!$F$58:$F$58</definedName>
    <definedName name="PERM">'4METASHL-GAS'!$F$107:$F$107</definedName>
    <definedName name="PESH">'4METASHL-GAS'!$F$23:$F$23</definedName>
    <definedName name="PF">'4METASHL-GAS'!$E$138:$E$138</definedName>
    <definedName name="PF_PS">'4METASHL-GAS'!$E$126:$E$126</definedName>
    <definedName name="PHID">'4METASHL-GAS'!$F$54:$F$54</definedName>
    <definedName name="PHIDC">'4METASHL-GAS'!$F$84:$F$84</definedName>
    <definedName name="PHIDSH">'4METASHL-GAS'!$F$21:$F$21</definedName>
    <definedName name="PHIDWTR">'4METASHL-GAS'!$G$32:$G$32</definedName>
    <definedName name="PHIE">'4METASHL-GAS'!$F$87:$F$87</definedName>
    <definedName name="PHIN">'4METASHL-GAS'!$F$53:$F$53</definedName>
    <definedName name="PHINC">'4METASHL-GAS'!$F$83:$F$83</definedName>
    <definedName name="PHINS">'4METASHL-GAS'!$F$83:$F$83</definedName>
    <definedName name="PHINSH">'4METASHL-GAS'!$F$20:$F$20</definedName>
    <definedName name="PHINWTR">'4METASHL-GAS'!$G$31:$G$31</definedName>
    <definedName name="PHIT">'4METASHL-GAS'!$F$90:$F$90</definedName>
    <definedName name="PHIWTR">'4METASHL-GAS'!$H$34:$H$34</definedName>
    <definedName name="PHIXDN">'4METASHL-GAS'!$F$85:$F$85</definedName>
    <definedName name="PS">'4METASHL-GAS'!$G$138:$G$138</definedName>
    <definedName name="PV">'4METASHL-GAS'!$F$112:$F$112</definedName>
    <definedName name="QG">'4METASHL-GAS'!$F$149:$F$149</definedName>
    <definedName name="QO">'4METASHL-GAS'!$F$128:$F$128</definedName>
    <definedName name="RESD">'4METASHL-GAS'!$F$52:$F$52</definedName>
    <definedName name="RF">'4METASHL-GAS'!$G$120:$G$120</definedName>
    <definedName name="RFG">'4METASHL-GAS'!$E$140:$E$140</definedName>
    <definedName name="RGAS">'4METASHL-GAS'!$F$143:$F$143</definedName>
    <definedName name="RO">'4METASHL-GAS'!$G$30:$G$30</definedName>
    <definedName name="ROIL">'4METASHL-GAS'!$F$122:$F$122</definedName>
    <definedName name="RSH">'4METASHL-GAS'!$F$24:$F$24</definedName>
    <definedName name="RW">'4METASHL-GAS'!$H$46:$H$46</definedName>
    <definedName name="RW_1">'4METASHL-GAS'!$H$35:$H$35</definedName>
    <definedName name="RW_2">'4METASHL-GAS'!$H$44:$H$44</definedName>
    <definedName name="RWA">'4METASHL-GAS'!$F$91:$F$91</definedName>
    <definedName name="RWCAT">'4METASHL-GAS'!$F$40:$F$40</definedName>
    <definedName name="SP">'4METASHL-GAS'!$F$57:$F$57</definedName>
    <definedName name="SP_0">'4METASHL-GAS'!$F$18:$F$18</definedName>
    <definedName name="SP_100">'4METASHL-GAS'!$F$19:$F$19</definedName>
    <definedName name="SUFT">'4METASHL-GAS'!$F$38:$F$38</definedName>
    <definedName name="SW">'4METASHL-GAS'!$F$99:$F$99</definedName>
    <definedName name="SWA">'4METASHL-GAS'!$F$92:$F$92</definedName>
    <definedName name="SWIR">'4METASHL-GAS'!$F$103:$F$103</definedName>
    <definedName name="SWS">'4METASHL-GAS'!$F$98:$F$98</definedName>
    <definedName name="TF">'4METASHL-GAS'!$E$139:$E$139</definedName>
    <definedName name="THICK">'4METASHL-GAS'!$F$111:$F$111</definedName>
    <definedName name="TOP">'4METASHL-GAS'!$F$50:$F$50</definedName>
    <definedName name="TRW">'4METASHL-GAS'!$I$40:$I$40</definedName>
    <definedName name="TS">'4METASHL-GAS'!$G$139:$G$139</definedName>
    <definedName name="VISO">'4METASHL-GAS'!$H$126:$H$126</definedName>
    <definedName name="VSH">'4METASHL-GAS'!$F$67:$F$67</definedName>
    <definedName name="VSHG">'4METASHL-GAS'!$F$64:$F$64</definedName>
    <definedName name="VSHS">'4METASHL-GAS'!$F$65:$F$65</definedName>
    <definedName name="VSHX">'4METASHL-GAS'!$F$66:$F$66</definedName>
    <definedName name="WTROCK">'4METASHL-GAS'!$F$166:$F$166</definedName>
    <definedName name="WTSH">'4METASHL-GAS'!$F$163:$F$163</definedName>
    <definedName name="WTSND">'4METASHL-GAS'!$F$164:$F$164</definedName>
    <definedName name="WTTAR">'4METASHL-GAS'!$F$162:$F$162</definedName>
    <definedName name="WTWTR">'4METASHL-GAS'!$F$165:$F$165</definedName>
    <definedName name="ZF">'4METASHL-GAS'!$J$138:$J$138</definedName>
  </definedNames>
  <calcPr calcId="144525" calcMode="manual" iterate="1" iterateCount="1" iterateDelta="0"/>
</workbook>
</file>

<file path=xl/calcChain.xml><?xml version="1.0" encoding="utf-8"?>
<calcChain xmlns="http://schemas.openxmlformats.org/spreadsheetml/2006/main">
  <c r="H34" i="1" l="1"/>
  <c r="H35" i="1" s="1"/>
  <c r="H42" i="1"/>
  <c r="H43" i="1"/>
  <c r="H44" i="1" s="1"/>
  <c r="H46" i="1" s="1"/>
  <c r="L50" i="1"/>
  <c r="L51" i="1"/>
  <c r="L52" i="1"/>
  <c r="L53" i="1"/>
  <c r="L90" i="1" s="1"/>
  <c r="L91" i="1" s="1"/>
  <c r="L54" i="1"/>
  <c r="L55" i="1"/>
  <c r="L56" i="1"/>
  <c r="L64" i="1" s="1"/>
  <c r="L67" i="1" s="1"/>
  <c r="L57" i="1"/>
  <c r="L58" i="1"/>
  <c r="L59" i="1"/>
  <c r="F64" i="1"/>
  <c r="H64" i="1"/>
  <c r="J64" i="1"/>
  <c r="F67" i="1"/>
  <c r="F84" i="1" s="1"/>
  <c r="H67" i="1"/>
  <c r="H83" i="1" s="1"/>
  <c r="J67" i="1"/>
  <c r="L70" i="1"/>
  <c r="F74" i="1"/>
  <c r="H74" i="1"/>
  <c r="J74" i="1"/>
  <c r="L74" i="1"/>
  <c r="L75" i="1" s="1"/>
  <c r="F75" i="1"/>
  <c r="H75" i="1"/>
  <c r="J75" i="1"/>
  <c r="F76" i="1"/>
  <c r="F77" i="1" s="1"/>
  <c r="F78" i="1" s="1"/>
  <c r="F83" i="1" s="1"/>
  <c r="H76" i="1"/>
  <c r="J76" i="1"/>
  <c r="L76" i="1"/>
  <c r="H77" i="1"/>
  <c r="J77" i="1"/>
  <c r="H78" i="1"/>
  <c r="J78" i="1"/>
  <c r="J83" i="1"/>
  <c r="J84" i="1"/>
  <c r="J85" i="1" s="1"/>
  <c r="J87" i="1" s="1"/>
  <c r="J86" i="1"/>
  <c r="F90" i="1"/>
  <c r="H90" i="1"/>
  <c r="J90" i="1"/>
  <c r="J91" i="1" s="1"/>
  <c r="F91" i="1"/>
  <c r="H91" i="1"/>
  <c r="F111" i="1"/>
  <c r="H111" i="1"/>
  <c r="J111" i="1"/>
  <c r="L111" i="1"/>
  <c r="F115" i="1"/>
  <c r="H115" i="1"/>
  <c r="H165" i="1" s="1"/>
  <c r="J115" i="1"/>
  <c r="J165" i="1" s="1"/>
  <c r="L115" i="1"/>
  <c r="I120" i="1"/>
  <c r="G140" i="1"/>
  <c r="J147" i="1"/>
  <c r="J152" i="1"/>
  <c r="F161" i="1"/>
  <c r="F163" i="1" s="1"/>
  <c r="H161" i="1"/>
  <c r="J161" i="1"/>
  <c r="L161" i="1"/>
  <c r="H163" i="1"/>
  <c r="J163" i="1"/>
  <c r="L163" i="1"/>
  <c r="F165" i="1"/>
  <c r="L165" i="1"/>
  <c r="F85" i="1" l="1"/>
  <c r="F87" i="1" s="1"/>
  <c r="F164" i="1" s="1"/>
  <c r="F166" i="1" s="1"/>
  <c r="L77" i="1"/>
  <c r="L78" i="1"/>
  <c r="L86" i="1" s="1"/>
  <c r="F86" i="1"/>
  <c r="E139" i="1"/>
  <c r="H142" i="1" s="1"/>
  <c r="L92" i="1"/>
  <c r="F92" i="1"/>
  <c r="F95" i="1"/>
  <c r="H92" i="1"/>
  <c r="J92" i="1"/>
  <c r="J95" i="1"/>
  <c r="J164" i="1"/>
  <c r="J166" i="1" s="1"/>
  <c r="H86" i="1"/>
  <c r="H84" i="1"/>
  <c r="H85" i="1" s="1"/>
  <c r="H87" i="1" s="1"/>
  <c r="J112" i="1"/>
  <c r="L84" i="1"/>
  <c r="L83" i="1" l="1"/>
  <c r="L85" i="1" s="1"/>
  <c r="L87" i="1" s="1"/>
  <c r="F112" i="1"/>
  <c r="H164" i="1"/>
  <c r="H166" i="1" s="1"/>
  <c r="H112" i="1"/>
  <c r="H95" i="1"/>
  <c r="J97" i="1"/>
  <c r="J96" i="1"/>
  <c r="J98" i="1" s="1"/>
  <c r="J99" i="1" s="1"/>
  <c r="J113" i="1" s="1"/>
  <c r="F96" i="1"/>
  <c r="F97" i="1"/>
  <c r="L112" i="1" l="1"/>
  <c r="L164" i="1"/>
  <c r="L166" i="1" s="1"/>
  <c r="L95" i="1"/>
  <c r="L97" i="1" s="1"/>
  <c r="F98" i="1"/>
  <c r="F99" i="1" s="1"/>
  <c r="F113" i="1" s="1"/>
  <c r="J143" i="1"/>
  <c r="J144" i="1" s="1"/>
  <c r="J145" i="1" s="1"/>
  <c r="J167" i="1" s="1"/>
  <c r="J122" i="1"/>
  <c r="J123" i="1" s="1"/>
  <c r="J124" i="1" s="1"/>
  <c r="L96" i="1"/>
  <c r="F143" i="1"/>
  <c r="F144" i="1" s="1"/>
  <c r="F145" i="1" s="1"/>
  <c r="F167" i="1" s="1"/>
  <c r="F122" i="1"/>
  <c r="F123" i="1" s="1"/>
  <c r="F124" i="1" s="1"/>
  <c r="H96" i="1"/>
  <c r="H98" i="1" s="1"/>
  <c r="H99" i="1" s="1"/>
  <c r="H97" i="1"/>
  <c r="L98" i="1" l="1"/>
  <c r="L99" i="1" s="1"/>
  <c r="L113" i="1" s="1"/>
  <c r="L143" i="1" s="1"/>
  <c r="L144" i="1" s="1"/>
  <c r="L145" i="1" s="1"/>
  <c r="L167" i="1" s="1"/>
  <c r="H102" i="1"/>
  <c r="H113" i="1"/>
  <c r="L122" i="1" l="1"/>
  <c r="L123" i="1" s="1"/>
  <c r="L124" i="1" s="1"/>
  <c r="J103" i="1"/>
  <c r="J107" i="1" s="1"/>
  <c r="J114" i="1" s="1"/>
  <c r="L103" i="1"/>
  <c r="L107" i="1" s="1"/>
  <c r="L114" i="1" s="1"/>
  <c r="F103" i="1"/>
  <c r="F107" i="1" s="1"/>
  <c r="F114" i="1" s="1"/>
  <c r="H103" i="1"/>
  <c r="H107" i="1" s="1"/>
  <c r="H114" i="1" s="1"/>
  <c r="H122" i="1"/>
  <c r="H123" i="1" s="1"/>
  <c r="H124" i="1" s="1"/>
  <c r="H143" i="1"/>
  <c r="H144" i="1" s="1"/>
  <c r="H145" i="1" s="1"/>
  <c r="H167" i="1" s="1"/>
  <c r="L127" i="1" l="1"/>
  <c r="L128" i="1"/>
  <c r="L129" i="1" s="1"/>
  <c r="L132" i="1"/>
  <c r="L133" i="1" s="1"/>
  <c r="L134" i="1" s="1"/>
  <c r="L148" i="1"/>
  <c r="L149" i="1"/>
  <c r="L150" i="1" s="1"/>
  <c r="L153" i="1"/>
  <c r="L154" i="1" s="1"/>
  <c r="L155" i="1" s="1"/>
  <c r="J127" i="1"/>
  <c r="J132" i="1"/>
  <c r="J133" i="1" s="1"/>
  <c r="J134" i="1" s="1"/>
  <c r="J148" i="1"/>
  <c r="J149" i="1"/>
  <c r="J150" i="1" s="1"/>
  <c r="J128" i="1"/>
  <c r="J129" i="1" s="1"/>
  <c r="J153" i="1"/>
  <c r="J154" i="1" s="1"/>
  <c r="J155" i="1" s="1"/>
  <c r="H127" i="1"/>
  <c r="H128" i="1"/>
  <c r="H129" i="1" s="1"/>
  <c r="H132" i="1"/>
  <c r="H133" i="1" s="1"/>
  <c r="H134" i="1" s="1"/>
  <c r="H148" i="1"/>
  <c r="H149" i="1"/>
  <c r="H150" i="1" s="1"/>
  <c r="H153" i="1"/>
  <c r="H154" i="1" s="1"/>
  <c r="H155" i="1" s="1"/>
  <c r="F153" i="1"/>
  <c r="F154" i="1" s="1"/>
  <c r="F155" i="1" s="1"/>
  <c r="F128" i="1"/>
  <c r="F129" i="1" s="1"/>
  <c r="F132" i="1"/>
  <c r="F133" i="1" s="1"/>
  <c r="F134" i="1" s="1"/>
  <c r="F148" i="1"/>
  <c r="F127" i="1"/>
  <c r="F149" i="1"/>
  <c r="F150" i="1" s="1"/>
</calcChain>
</file>

<file path=xl/sharedStrings.xml><?xml version="1.0" encoding="utf-8"?>
<sst xmlns="http://schemas.openxmlformats.org/spreadsheetml/2006/main" count="371" uniqueCount="289">
  <si>
    <t xml:space="preserve">                         A Knowledge Based System For Formation Evaluation     </t>
  </si>
  <si>
    <t>E. R. Crain, P.Eng.</t>
  </si>
  <si>
    <t>meters</t>
  </si>
  <si>
    <t>SHALE DATA</t>
  </si>
  <si>
    <t>INSTRUCTIONS</t>
  </si>
  <si>
    <t>Gamma Ray clean line</t>
  </si>
  <si>
    <t>GR0</t>
  </si>
  <si>
    <t xml:space="preserve"> API units</t>
  </si>
  <si>
    <t>Type into BLACK cells</t>
  </si>
  <si>
    <t>Gamma Ray shale line</t>
  </si>
  <si>
    <t>GR100</t>
  </si>
  <si>
    <t>Read answer in RED cells</t>
  </si>
  <si>
    <t>SP clean line</t>
  </si>
  <si>
    <t>SP0</t>
  </si>
  <si>
    <t xml:space="preserve"> mv</t>
  </si>
  <si>
    <t>Change DEFAULTS as needed</t>
  </si>
  <si>
    <t>SP shale line</t>
  </si>
  <si>
    <t>SP100</t>
  </si>
  <si>
    <t>Do NOT type in shaded cells</t>
  </si>
  <si>
    <t>Neutron shale line</t>
  </si>
  <si>
    <t>PHINSH</t>
  </si>
  <si>
    <t xml:space="preserve"> frac</t>
  </si>
  <si>
    <t>Density shale line</t>
  </si>
  <si>
    <t>PHIDSH</t>
  </si>
  <si>
    <t>Sonic shale line</t>
  </si>
  <si>
    <t>DTCSH</t>
  </si>
  <si>
    <t xml:space="preserve"> usec/m</t>
  </si>
  <si>
    <t>Photoelectric shale line</t>
  </si>
  <si>
    <t>PESH</t>
  </si>
  <si>
    <t xml:space="preserve"> cu</t>
  </si>
  <si>
    <t>Resistivity shale line</t>
  </si>
  <si>
    <t>RSH</t>
  </si>
  <si>
    <t xml:space="preserve"> ohm-m</t>
  </si>
  <si>
    <t>WATER DATA</t>
  </si>
  <si>
    <t>Calculate Water Resistivity from WATER ZONE</t>
  </si>
  <si>
    <t>Electrical Properties</t>
  </si>
  <si>
    <t xml:space="preserve">       A =</t>
  </si>
  <si>
    <t xml:space="preserve">         M =</t>
  </si>
  <si>
    <t xml:space="preserve">         N =</t>
  </si>
  <si>
    <t xml:space="preserve"> unitless</t>
  </si>
  <si>
    <t>Resistivity of  Water Zone</t>
  </si>
  <si>
    <t xml:space="preserve">      RO =</t>
  </si>
  <si>
    <t>Neutron Porosity of Water Zone</t>
  </si>
  <si>
    <t>PHINwtr=</t>
  </si>
  <si>
    <t>Density Porosity of Water Zone</t>
  </si>
  <si>
    <t>PHIDwtr=</t>
  </si>
  <si>
    <t>1: PHIwtr = (PHIDwtr + PHINwtr) / 2</t>
  </si>
  <si>
    <t>PHIwtr =</t>
  </si>
  <si>
    <t>2: RW@FT = (PHIwtr ^ M) * R0 / A</t>
  </si>
  <si>
    <t xml:space="preserve"> RW_1 =</t>
  </si>
  <si>
    <t xml:space="preserve"> ohm-m at Formation Temperature</t>
  </si>
  <si>
    <t>OR</t>
  </si>
  <si>
    <t>Calculate Water Resistivity from WATER CATALOG</t>
  </si>
  <si>
    <t>Temperatures</t>
  </si>
  <si>
    <t>SUFT =</t>
  </si>
  <si>
    <t xml:space="preserve">    BHT =</t>
  </si>
  <si>
    <t xml:space="preserve"> degC</t>
  </si>
  <si>
    <t>Depths</t>
  </si>
  <si>
    <t xml:space="preserve"> ZONEDEPTH =</t>
  </si>
  <si>
    <t xml:space="preserve">         BHTDEPTH =</t>
  </si>
  <si>
    <t xml:space="preserve"> meters</t>
  </si>
  <si>
    <t>Catalog Water Resistivity</t>
  </si>
  <si>
    <t xml:space="preserve">      RW@TRW =</t>
  </si>
  <si>
    <t xml:space="preserve">    TRW =</t>
  </si>
  <si>
    <t xml:space="preserve">   KT1 =</t>
  </si>
  <si>
    <t>1. GRAD = (BHT - SUFT) / BHTDEPTH</t>
  </si>
  <si>
    <t xml:space="preserve"> GRAD =</t>
  </si>
  <si>
    <t xml:space="preserve"> degC/meter</t>
  </si>
  <si>
    <t>2: FT = SUFT + GRAD * ZONEDEPTH</t>
  </si>
  <si>
    <t xml:space="preserve">       FT =</t>
  </si>
  <si>
    <t xml:space="preserve">3: RW@FT = RW@TRW * (TRW + KT1) / (FT + KT1) </t>
  </si>
  <si>
    <t xml:space="preserve">  RW_2 =</t>
  </si>
  <si>
    <t>CHOOSE FINAL RW (+RW_1 or +RW_2)</t>
  </si>
  <si>
    <t xml:space="preserve">    RW =</t>
  </si>
  <si>
    <t>RAW LOG DATA FOR</t>
  </si>
  <si>
    <t>LAYER 1</t>
  </si>
  <si>
    <t>LAYER 2</t>
  </si>
  <si>
    <t>LAYER 3</t>
  </si>
  <si>
    <t>LAYER 4</t>
  </si>
  <si>
    <t>Layer Top</t>
  </si>
  <si>
    <t>TOP</t>
  </si>
  <si>
    <t xml:space="preserve">  meters</t>
  </si>
  <si>
    <t>Layer Bottom</t>
  </si>
  <si>
    <t>BASE</t>
  </si>
  <si>
    <t xml:space="preserve">Deep Resistivity </t>
  </si>
  <si>
    <t>RESD</t>
  </si>
  <si>
    <t>ohm-m</t>
  </si>
  <si>
    <t xml:space="preserve">  ohm-m</t>
  </si>
  <si>
    <t xml:space="preserve">Neutron Porosity </t>
  </si>
  <si>
    <t>PHIN</t>
  </si>
  <si>
    <t>frac</t>
  </si>
  <si>
    <t xml:space="preserve">  frac</t>
  </si>
  <si>
    <t xml:space="preserve">Density Porosity </t>
  </si>
  <si>
    <t>PHID</t>
  </si>
  <si>
    <t xml:space="preserve">Sonic Travel Time </t>
  </si>
  <si>
    <t>DTC</t>
  </si>
  <si>
    <t>usec/m</t>
  </si>
  <si>
    <t xml:space="preserve">  usec/m</t>
  </si>
  <si>
    <t xml:space="preserve">Gamma Ray </t>
  </si>
  <si>
    <t>GR</t>
  </si>
  <si>
    <t>API</t>
  </si>
  <si>
    <t xml:space="preserve">  API</t>
  </si>
  <si>
    <t>Spontaneous Potential</t>
  </si>
  <si>
    <t>SP</t>
  </si>
  <si>
    <t>mv</t>
  </si>
  <si>
    <t xml:space="preserve">  mv</t>
  </si>
  <si>
    <t>Photoelectric</t>
  </si>
  <si>
    <t>PE</t>
  </si>
  <si>
    <t>cu</t>
  </si>
  <si>
    <t xml:space="preserve">  cu</t>
  </si>
  <si>
    <t>Caliper</t>
  </si>
  <si>
    <t>CAL</t>
  </si>
  <si>
    <t>mm</t>
  </si>
  <si>
    <t xml:space="preserve">  mm</t>
  </si>
  <si>
    <t>CALCULATED RESULTS</t>
  </si>
  <si>
    <t>SHALE VOLUME</t>
  </si>
  <si>
    <t>1: Vshg = (GR - GR0) / (GR100 - GR0)</t>
  </si>
  <si>
    <t>2: SP not suitable</t>
  </si>
  <si>
    <t>3: D-N not suiyable</t>
  </si>
  <si>
    <t>4: Vsh = Minimum of above in each zone</t>
  </si>
  <si>
    <t>TOC WEIGHT FRACTION - Use META/TOC or Lab Values</t>
  </si>
  <si>
    <t xml:space="preserve">  INPUT TOC WEIGHT FRACTION VALUES HERE ==&gt;</t>
  </si>
  <si>
    <t xml:space="preserve">  wt frac</t>
  </si>
  <si>
    <t>KEROGEN VOLUME</t>
  </si>
  <si>
    <t xml:space="preserve">  INPUT DENSITY VALUES HERE ==&gt;</t>
  </si>
  <si>
    <t>DENSker =</t>
  </si>
  <si>
    <t xml:space="preserve"> DENSma =</t>
  </si>
  <si>
    <t xml:space="preserve">      KTOC =</t>
  </si>
  <si>
    <t xml:space="preserve">5: Wker = Wtoc / KTOC </t>
  </si>
  <si>
    <t>Wker =</t>
  </si>
  <si>
    <t>6: VOLker = Wker / DENSker</t>
  </si>
  <si>
    <t>VOLker =</t>
  </si>
  <si>
    <t xml:space="preserve">  cc</t>
  </si>
  <si>
    <t>7: VOLma = (1 - Wker) / DENSma</t>
  </si>
  <si>
    <t>VOLma =</t>
  </si>
  <si>
    <t>8: VOLrock = VOLker + VOLma</t>
  </si>
  <si>
    <t>VOLrock =</t>
  </si>
  <si>
    <t xml:space="preserve">9: Vker = VOLker / VOLrock </t>
  </si>
  <si>
    <t>Vker =</t>
  </si>
  <si>
    <t xml:space="preserve">  vol frac</t>
  </si>
  <si>
    <t>POROSITY</t>
  </si>
  <si>
    <t xml:space="preserve">DTCW =    </t>
  </si>
  <si>
    <t xml:space="preserve">DTCMA =  </t>
  </si>
  <si>
    <t xml:space="preserve"> DTCker =   </t>
  </si>
  <si>
    <t>PHINker =</t>
  </si>
  <si>
    <t xml:space="preserve"> fractional</t>
  </si>
  <si>
    <t>1: PHInc = PHIN-Vsh*PHINSH-Vker*PHINker</t>
  </si>
  <si>
    <t>PHInc =</t>
  </si>
  <si>
    <t>2: PHIdc = PHID-Vsh*PHIDSH-Vker*PHIDker</t>
  </si>
  <si>
    <t>PHIdc =</t>
  </si>
  <si>
    <t>3: PHIxdn = (PHInc + PHIdc) / 2</t>
  </si>
  <si>
    <t>PHIzdn=</t>
  </si>
  <si>
    <t>4: PHIsc = (DTC- ((1 - Vsh)*DTCMA)-(Vsh*DTCSH))/(DTCW - DTCMA)-Vker*PHISker</t>
  </si>
  <si>
    <t>PHIsc =</t>
  </si>
  <si>
    <t xml:space="preserve">5: PHIe = PHIxdn </t>
  </si>
  <si>
    <t xml:space="preserve">  PHIe =</t>
  </si>
  <si>
    <t>ARCHIE WATER SATURATION</t>
  </si>
  <si>
    <t>1: PHIt = (PHID + PHIN) / 2</t>
  </si>
  <si>
    <t xml:space="preserve">  PHIt =</t>
  </si>
  <si>
    <t>2: Rwa = (PHIt ^ M) * RESD / A</t>
  </si>
  <si>
    <t xml:space="preserve">  Rwa =</t>
  </si>
  <si>
    <t>3: SWa = (RW@FT / Rwa) ^ (1 / N)</t>
  </si>
  <si>
    <t xml:space="preserve">  SWa =</t>
  </si>
  <si>
    <t>SIMANDOUX WATER SATURATION</t>
  </si>
  <si>
    <t>1: C = (1 - Vsh) * A * RW@FT / (PHIe ^ M)   C =</t>
  </si>
  <si>
    <t>2: D = C * Vsh / (2 * RSH)</t>
  </si>
  <si>
    <t xml:space="preserve">       D =</t>
  </si>
  <si>
    <t>3: E = C / RESD</t>
  </si>
  <si>
    <t xml:space="preserve">       E =</t>
  </si>
  <si>
    <t>4: SWs = ((D ^ 2 + E) ^ 0.5 - D) ^ (2 / N)</t>
  </si>
  <si>
    <t xml:space="preserve">  SWs =</t>
  </si>
  <si>
    <t>5: Sw = SWs</t>
  </si>
  <si>
    <t xml:space="preserve">     Sw =</t>
  </si>
  <si>
    <t>IRREDUCIBLE WATER SATURATION</t>
  </si>
  <si>
    <t xml:space="preserve">1: KBUCKL = PHIe * Sw (for best Oil/Gas zone </t>
  </si>
  <si>
    <t xml:space="preserve">               KBUCKL =</t>
  </si>
  <si>
    <t xml:space="preserve"> &lt;&lt;== Put Data for BEST ZONE HERE</t>
  </si>
  <si>
    <t>2: SWir = Min (Sw, KBUCKL /  PHIe)</t>
  </si>
  <si>
    <t xml:space="preserve"> SWir =</t>
  </si>
  <si>
    <t>PERMEABILITY</t>
  </si>
  <si>
    <t xml:space="preserve">           CPERM =</t>
  </si>
  <si>
    <t>DPERM =</t>
  </si>
  <si>
    <t>EPERM =</t>
  </si>
  <si>
    <t>1: PERMw = CPERM * (PHIe ^ DPERM) / (SWir ^ EPERM)</t>
  </si>
  <si>
    <t xml:space="preserve"> Perm =</t>
  </si>
  <si>
    <t xml:space="preserve">  mD</t>
  </si>
  <si>
    <t>PAY ZONE SUMMARY</t>
  </si>
  <si>
    <t xml:space="preserve">      Enter THICK = 0.0 if zone fails cutoffs</t>
  </si>
  <si>
    <t>0: THICK = BASE - TOP     (meters)</t>
  </si>
  <si>
    <t>1: PV = PHIe * THICK</t>
  </si>
  <si>
    <t>2: HPV = PHIe * (1 - Sw) * THICK</t>
  </si>
  <si>
    <t>3: KH = Perm * THICK</t>
  </si>
  <si>
    <t xml:space="preserve">  mD-m</t>
  </si>
  <si>
    <t>4: NetPay = THICK</t>
  </si>
  <si>
    <t xml:space="preserve">CALCULATED RESERVES and PRODUCTIVITY </t>
  </si>
  <si>
    <t>OIL RESERVES</t>
  </si>
  <si>
    <t xml:space="preserve">    Bo =</t>
  </si>
  <si>
    <t xml:space="preserve">        RF =</t>
  </si>
  <si>
    <t xml:space="preserve">   AREA =</t>
  </si>
  <si>
    <t xml:space="preserve">      KV3 =</t>
  </si>
  <si>
    <t xml:space="preserve">     Set KV3 = 0.0 if this is gas zone</t>
  </si>
  <si>
    <t>(640 acres)</t>
  </si>
  <si>
    <t>1: Roil(m3) = RF * KV3 * HPV * AREA / Bo    (m3 * 1000)</t>
  </si>
  <si>
    <t xml:space="preserve">  m3 * 1000</t>
  </si>
  <si>
    <t>2: Roil(bbl) = 6.29 * Roil(m3)                           (bbl * 1000)</t>
  </si>
  <si>
    <t xml:space="preserve">  bbl * 1000</t>
  </si>
  <si>
    <t>3: OOIP                                                              (bbl * 1000)</t>
  </si>
  <si>
    <t>OIL PRODUCTIVITY - VERICAL</t>
  </si>
  <si>
    <t>PF-PS =</t>
  </si>
  <si>
    <t xml:space="preserve"> KPa</t>
  </si>
  <si>
    <t xml:space="preserve">    VISO =</t>
  </si>
  <si>
    <t xml:space="preserve"> cP</t>
  </si>
  <si>
    <t xml:space="preserve">     KV1 =</t>
  </si>
  <si>
    <t xml:space="preserve"> / 10000</t>
  </si>
  <si>
    <t>4: KH from Net Pay Table Above (0.0 if layer fails cutoffs)</t>
  </si>
  <si>
    <t>5: Qo(m3/d) = KV1 * KH * (PF - PS) / VIS      (m3/d)</t>
  </si>
  <si>
    <t xml:space="preserve">  m3/d</t>
  </si>
  <si>
    <t>6: Qo(bbl/d) = 6.29 * Qo(m3/d)                      (bbl/d)</t>
  </si>
  <si>
    <t xml:space="preserve">  bbl/d</t>
  </si>
  <si>
    <t>OIL PRODUCTIVITY - HORIZONTAL</t>
  </si>
  <si>
    <t>Length =</t>
  </si>
  <si>
    <t xml:space="preserve"> meters </t>
  </si>
  <si>
    <t>7: KH of Horizontal Leg (0.0 if layer fails cutoffs)</t>
  </si>
  <si>
    <t>8: Qo(m3/d) = KV1 * KH * (PF - PS) / VIS      (m3/d)</t>
  </si>
  <si>
    <t>9: Qo(bbl/d) = 6.29 * Qo(m3/d)            (bbl/d)</t>
  </si>
  <si>
    <t>FREE GAS CASE</t>
  </si>
  <si>
    <t>FREE GAS RESERVES</t>
  </si>
  <si>
    <t xml:space="preserve">     PF =</t>
  </si>
  <si>
    <t xml:space="preserve">       PS =</t>
  </si>
  <si>
    <t xml:space="preserve">        ZF =</t>
  </si>
  <si>
    <t xml:space="preserve">     TF =</t>
  </si>
  <si>
    <t xml:space="preserve">       TS =</t>
  </si>
  <si>
    <t xml:space="preserve">     KT2 =</t>
  </si>
  <si>
    <t xml:space="preserve">     RF =</t>
  </si>
  <si>
    <t xml:space="preserve"> m2</t>
  </si>
  <si>
    <t xml:space="preserve">     KV4 =</t>
  </si>
  <si>
    <t xml:space="preserve">     Set KV4 = 0.0 if this is oil zone</t>
  </si>
  <si>
    <t>1: Bg =  (PS * (TF + KT2)) / (PF * (TS + KT2)) * ZF</t>
  </si>
  <si>
    <t xml:space="preserve">        Bg = </t>
  </si>
  <si>
    <t>2: Rgas = RF * KV4 * HPV * AREA / Bg     (e3m3)</t>
  </si>
  <si>
    <t xml:space="preserve">  e3m3</t>
  </si>
  <si>
    <t>3: Rgas(mmcf) = 35.3 * Rgas(e3m3)            (Bcf)</t>
  </si>
  <si>
    <t xml:space="preserve">  Bcf</t>
  </si>
  <si>
    <t>4: OGIP free                                                      (Bcf)</t>
  </si>
  <si>
    <t>FREE GAS PRODUCTIVITY - VERTICAL</t>
  </si>
  <si>
    <t xml:space="preserve">      KV2 =</t>
  </si>
  <si>
    <t xml:space="preserve"> / 1000</t>
  </si>
  <si>
    <t>5: KH from Net Pay Table Above (0.0 if layer fails cutoffs)</t>
  </si>
  <si>
    <t>6: Qg = KV2 * KH * ((PF - PS)^2) / (FT + KT2)      (e3m3/d)</t>
  </si>
  <si>
    <t xml:space="preserve">  e3m3/d</t>
  </si>
  <si>
    <t>7: Qg(mmcf/d) = 0.0353 * Qg(e3m3/d)                  (mmcf/d)</t>
  </si>
  <si>
    <t xml:space="preserve">  mmcf/d</t>
  </si>
  <si>
    <t>FREE GAS PRODUCTIVITY -  HORIZONTAL</t>
  </si>
  <si>
    <t>8: KH of Horizontal Leg (0.0 if layer fails cutoffs)</t>
  </si>
  <si>
    <t>9: Qg = KV2 * KH * ((PF - PS)^2) / (FT + KT2)      (e3m3/d)</t>
  </si>
  <si>
    <t>10: Qg(mmcf/d) = 0.0353 * Qg(e3m3/d)                (mmcf/d)</t>
  </si>
  <si>
    <t>ADSORBED GAS CASE</t>
  </si>
  <si>
    <t>ADSORBED GAS IN PLACE</t>
  </si>
  <si>
    <t xml:space="preserve">       Area = </t>
  </si>
  <si>
    <t xml:space="preserve"> acres</t>
  </si>
  <si>
    <t xml:space="preserve">     KG6 =</t>
  </si>
  <si>
    <t xml:space="preserve"> *10^-6</t>
  </si>
  <si>
    <t>1: TOC as Input or Overwrite - weight fraction</t>
  </si>
  <si>
    <t xml:space="preserve">   TOC =</t>
  </si>
  <si>
    <t xml:space="preserve">2: KG11 = Gas Content  / TOC% </t>
  </si>
  <si>
    <t xml:space="preserve">    KG11 =</t>
  </si>
  <si>
    <t xml:space="preserve">  scf/TOC%</t>
  </si>
  <si>
    <t>3: Gc = KG11 * TOC%     (scf/ton)</t>
  </si>
  <si>
    <t xml:space="preserve">    Gc =</t>
  </si>
  <si>
    <t xml:space="preserve">  scf/ton</t>
  </si>
  <si>
    <t>4: DENS = PHIe * 1.0 +(1 - PHIe) * 2.65    (g/cc)</t>
  </si>
  <si>
    <t xml:space="preserve">  g/cc</t>
  </si>
  <si>
    <t>5: THICK   ( feet)</t>
  </si>
  <si>
    <t xml:space="preserve">  feet</t>
  </si>
  <si>
    <t>6: OGIPadsorb = KG6 * Gc * DENS * THICK * AREA  (Bcf)</t>
  </si>
  <si>
    <t>6: TOTAL OGIP = OGIP free +OGIPadsorb)                (Bcf)</t>
  </si>
  <si>
    <t>c. E. 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</si>
  <si>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</si>
  <si>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</si>
  <si>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</si>
  <si>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</si>
  <si>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</si>
  <si>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</si>
  <si>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</si>
  <si>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</si>
  <si>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>REFERENCES:</t>
  </si>
  <si>
    <t>SHALE OIL CASE</t>
  </si>
  <si>
    <t xml:space="preserve">   QUICKLOOK LOG ANALYSIS -- UNCONVENTIONAL OIL and GAS -- METRIC UNITS</t>
  </si>
  <si>
    <t xml:space="preserve">                       META/KWIK "UNCONV"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</si>
</sst>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2">
    <font>
      <sz val="10"/>
      <name val="Arial"/>
    </font>
    <font>
      <b/>
      <sz val="24"/>
      <color indexed="13"/>
      <name val="Times New Roman"/>
    </font>
    <font>
      <sz val="10"/>
      <color indexed="8"/>
      <name val="Arial"/>
    </font>
    <font>
      <sz val="10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14"/>
      <color indexed="9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24"/>
      <color indexed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2"/>
      </patternFill>
    </fill>
    <fill>
      <patternFill patternType="darkUp"/>
    </fill>
    <fill>
      <patternFill patternType="solid">
        <fgColor indexed="22"/>
        <bgColor indexed="64"/>
      </patternFill>
    </fill>
    <fill>
      <patternFill patternType="solid">
        <fgColor indexed="15"/>
      </patternFill>
    </fill>
  </fills>
  <borders count="21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10"/>
      </top>
      <bottom/>
      <diagonal/>
    </border>
    <border>
      <left style="thin">
        <color indexed="9"/>
      </left>
      <right/>
      <top/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8"/>
      </left>
      <right/>
      <top style="thick">
        <color indexed="10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1">
    <xf numFmtId="0" fontId="17" fillId="0" borderId="0" xfId="0" applyNumberFormat="1" applyFont="1" applyAlignment="1" applyProtection="1">
      <protection locked="0"/>
    </xf>
    <xf numFmtId="0" fontId="0" fillId="0" borderId="1" xfId="0" applyBorder="1" applyAlignment="1"/>
    <xf numFmtId="2" fontId="1" fillId="3" borderId="2" xfId="0" applyNumberFormat="1" applyFont="1" applyFill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NumberFormat="1" applyFont="1" applyAlignment="1"/>
    <xf numFmtId="2" fontId="4" fillId="3" borderId="1" xfId="0" applyNumberFormat="1" applyFont="1" applyFill="1" applyBorder="1" applyAlignment="1"/>
    <xf numFmtId="2" fontId="4" fillId="3" borderId="0" xfId="0" applyNumberFormat="1" applyFont="1" applyFill="1" applyAlignment="1"/>
    <xf numFmtId="2" fontId="5" fillId="3" borderId="1" xfId="0" applyNumberFormat="1" applyFont="1" applyFill="1" applyBorder="1" applyAlignment="1"/>
    <xf numFmtId="2" fontId="5" fillId="3" borderId="0" xfId="0" applyNumberFormat="1" applyFont="1" applyFill="1" applyAlignment="1"/>
    <xf numFmtId="1" fontId="8" fillId="3" borderId="2" xfId="0" applyNumberFormat="1" applyFont="1" applyFill="1" applyBorder="1" applyAlignment="1"/>
    <xf numFmtId="164" fontId="8" fillId="3" borderId="2" xfId="0" applyNumberFormat="1" applyFont="1" applyFill="1" applyBorder="1" applyAlignment="1"/>
    <xf numFmtId="0" fontId="8" fillId="3" borderId="2" xfId="0" applyFont="1" applyFill="1" applyBorder="1" applyAlignment="1"/>
    <xf numFmtId="0" fontId="8" fillId="3" borderId="1" xfId="0" applyFont="1" applyFill="1" applyBorder="1" applyAlignment="1"/>
    <xf numFmtId="0" fontId="8" fillId="3" borderId="3" xfId="0" applyFont="1" applyFill="1" applyBorder="1" applyAlignment="1"/>
    <xf numFmtId="0" fontId="8" fillId="3" borderId="0" xfId="0" applyFont="1" applyFill="1" applyAlignment="1"/>
    <xf numFmtId="1" fontId="9" fillId="0" borderId="0" xfId="0" applyNumberFormat="1" applyFont="1" applyAlignment="1"/>
    <xf numFmtId="1" fontId="9" fillId="0" borderId="4" xfId="0" applyNumberFormat="1" applyFont="1" applyBorder="1" applyAlignment="1"/>
    <xf numFmtId="164" fontId="9" fillId="0" borderId="4" xfId="0" applyNumberFormat="1" applyFont="1" applyBorder="1" applyAlignment="1"/>
    <xf numFmtId="0" fontId="9" fillId="0" borderId="4" xfId="0" applyFont="1" applyBorder="1" applyAlignment="1"/>
    <xf numFmtId="1" fontId="9" fillId="0" borderId="2" xfId="0" applyNumberFormat="1" applyFont="1" applyBorder="1" applyAlignment="1"/>
    <xf numFmtId="164" fontId="9" fillId="0" borderId="2" xfId="0" applyNumberFormat="1" applyFont="1" applyBorder="1" applyAlignment="1"/>
    <xf numFmtId="0" fontId="9" fillId="0" borderId="2" xfId="0" applyFont="1" applyBorder="1" applyAlignment="1"/>
    <xf numFmtId="2" fontId="9" fillId="0" borderId="5" xfId="0" applyNumberFormat="1" applyFont="1" applyBorder="1" applyAlignment="1"/>
    <xf numFmtId="0" fontId="9" fillId="0" borderId="5" xfId="0" applyFont="1" applyBorder="1" applyAlignment="1"/>
    <xf numFmtId="1" fontId="9" fillId="0" borderId="6" xfId="0" applyNumberFormat="1" applyFont="1" applyBorder="1" applyAlignment="1"/>
    <xf numFmtId="164" fontId="9" fillId="0" borderId="6" xfId="0" applyNumberFormat="1" applyFont="1" applyBorder="1" applyAlignment="1"/>
    <xf numFmtId="2" fontId="9" fillId="0" borderId="6" xfId="0" applyNumberFormat="1" applyFont="1" applyBorder="1" applyAlignment="1"/>
    <xf numFmtId="0" fontId="9" fillId="0" borderId="6" xfId="0" applyFont="1" applyBorder="1" applyAlignment="1"/>
    <xf numFmtId="1" fontId="9" fillId="0" borderId="1" xfId="0" applyNumberFormat="1" applyFont="1" applyBorder="1" applyAlignment="1"/>
    <xf numFmtId="164" fontId="9" fillId="0" borderId="1" xfId="0" applyNumberFormat="1" applyFont="1" applyBorder="1" applyAlignment="1"/>
    <xf numFmtId="2" fontId="9" fillId="0" borderId="1" xfId="0" applyNumberFormat="1" applyFont="1" applyBorder="1" applyAlignment="1"/>
    <xf numFmtId="0" fontId="9" fillId="0" borderId="1" xfId="0" applyFont="1" applyBorder="1" applyAlignment="1"/>
    <xf numFmtId="164" fontId="9" fillId="0" borderId="0" xfId="0" applyNumberFormat="1" applyFont="1" applyAlignment="1"/>
    <xf numFmtId="2" fontId="9" fillId="0" borderId="0" xfId="0" applyNumberFormat="1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left"/>
    </xf>
    <xf numFmtId="1" fontId="11" fillId="0" borderId="4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4" borderId="2" xfId="0" applyNumberFormat="1" applyFont="1" applyFill="1" applyBorder="1" applyAlignment="1">
      <alignment horizontal="centerContinuous"/>
    </xf>
    <xf numFmtId="1" fontId="12" fillId="4" borderId="3" xfId="0" applyNumberFormat="1" applyFont="1" applyFill="1" applyBorder="1" applyAlignment="1">
      <alignment horizontal="center"/>
    </xf>
    <xf numFmtId="164" fontId="12" fillId="4" borderId="3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0" xfId="0" applyFont="1" applyAlignment="1"/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4" fontId="15" fillId="4" borderId="2" xfId="0" applyNumberFormat="1" applyFont="1" applyFill="1" applyBorder="1" applyAlignment="1"/>
    <xf numFmtId="166" fontId="15" fillId="4" borderId="3" xfId="0" applyNumberFormat="1" applyFont="1" applyFill="1" applyBorder="1" applyAlignment="1">
      <alignment horizontal="centerContinuous"/>
    </xf>
    <xf numFmtId="166" fontId="16" fillId="4" borderId="3" xfId="0" applyNumberFormat="1" applyFont="1" applyFill="1" applyBorder="1" applyAlignment="1">
      <alignment horizontal="right"/>
    </xf>
    <xf numFmtId="0" fontId="9" fillId="0" borderId="0" xfId="0" applyFont="1" applyBorder="1" applyAlignment="1"/>
    <xf numFmtId="164" fontId="10" fillId="0" borderId="0" xfId="0" applyNumberFormat="1" applyFont="1" applyBorder="1" applyAlignment="1">
      <alignment horizontal="left"/>
    </xf>
    <xf numFmtId="0" fontId="2" fillId="0" borderId="0" xfId="0" applyFont="1" applyBorder="1" applyAlignment="1"/>
    <xf numFmtId="2" fontId="6" fillId="2" borderId="9" xfId="0" applyNumberFormat="1" applyFont="1" applyFill="1" applyBorder="1" applyAlignment="1"/>
    <xf numFmtId="2" fontId="7" fillId="2" borderId="10" xfId="0" applyNumberFormat="1" applyFont="1" applyFill="1" applyBorder="1" applyAlignment="1"/>
    <xf numFmtId="2" fontId="6" fillId="2" borderId="10" xfId="0" applyNumberFormat="1" applyFont="1" applyFill="1" applyBorder="1" applyAlignment="1"/>
    <xf numFmtId="2" fontId="5" fillId="3" borderId="0" xfId="0" applyNumberFormat="1" applyFont="1" applyFill="1" applyBorder="1" applyAlignment="1"/>
    <xf numFmtId="2" fontId="5" fillId="3" borderId="13" xfId="0" applyNumberFormat="1" applyFont="1" applyFill="1" applyBorder="1" applyAlignment="1"/>
    <xf numFmtId="0" fontId="19" fillId="0" borderId="14" xfId="0" applyNumberFormat="1" applyFont="1" applyBorder="1" applyAlignment="1"/>
    <xf numFmtId="0" fontId="19" fillId="0" borderId="0" xfId="0" applyNumberFormat="1" applyFont="1" applyAlignment="1"/>
    <xf numFmtId="0" fontId="19" fillId="0" borderId="3" xfId="0" applyNumberFormat="1" applyFont="1" applyBorder="1" applyAlignment="1"/>
    <xf numFmtId="0" fontId="19" fillId="0" borderId="2" xfId="0" applyNumberFormat="1" applyFont="1" applyBorder="1" applyAlignment="1"/>
    <xf numFmtId="0" fontId="19" fillId="0" borderId="15" xfId="0" applyNumberFormat="1" applyFont="1" applyBorder="1" applyAlignment="1"/>
    <xf numFmtId="0" fontId="19" fillId="0" borderId="0" xfId="0" applyNumberFormat="1" applyFont="1" applyAlignment="1">
      <alignment horizontal="right"/>
    </xf>
    <xf numFmtId="0" fontId="19" fillId="0" borderId="16" xfId="0" applyNumberFormat="1" applyFont="1" applyBorder="1" applyAlignment="1"/>
    <xf numFmtId="2" fontId="6" fillId="6" borderId="0" xfId="0" applyNumberFormat="1" applyFont="1" applyFill="1" applyBorder="1" applyAlignment="1"/>
    <xf numFmtId="0" fontId="19" fillId="0" borderId="17" xfId="0" applyNumberFormat="1" applyFont="1" applyBorder="1" applyAlignment="1"/>
    <xf numFmtId="0" fontId="19" fillId="0" borderId="18" xfId="0" applyNumberFormat="1" applyFont="1" applyBorder="1" applyAlignment="1"/>
    <xf numFmtId="0" fontId="19" fillId="0" borderId="19" xfId="0" applyNumberFormat="1" applyFont="1" applyBorder="1" applyAlignment="1"/>
    <xf numFmtId="0" fontId="19" fillId="0" borderId="0" xfId="0" applyNumberFormat="1" applyFont="1" applyBorder="1" applyAlignment="1"/>
    <xf numFmtId="15" fontId="19" fillId="0" borderId="17" xfId="0" applyNumberFormat="1" applyFont="1" applyBorder="1" applyAlignment="1"/>
    <xf numFmtId="2" fontId="6" fillId="6" borderId="0" xfId="0" applyNumberFormat="1" applyFont="1" applyFill="1" applyAlignment="1"/>
    <xf numFmtId="0" fontId="19" fillId="0" borderId="0" xfId="0" applyFont="1" applyBorder="1" applyAlignment="1"/>
    <xf numFmtId="0" fontId="8" fillId="3" borderId="20" xfId="0" applyFont="1" applyFill="1" applyBorder="1" applyAlignment="1"/>
    <xf numFmtId="0" fontId="8" fillId="3" borderId="10" xfId="0" applyFont="1" applyFill="1" applyBorder="1" applyAlignment="1"/>
    <xf numFmtId="0" fontId="8" fillId="3" borderId="15" xfId="0" applyFont="1" applyFill="1" applyBorder="1" applyAlignment="1"/>
    <xf numFmtId="164" fontId="9" fillId="0" borderId="0" xfId="0" applyNumberFormat="1" applyFont="1" applyBorder="1" applyAlignment="1"/>
    <xf numFmtId="164" fontId="8" fillId="3" borderId="10" xfId="0" applyNumberFormat="1" applyFont="1" applyFill="1" applyBorder="1" applyAlignment="1"/>
    <xf numFmtId="1" fontId="8" fillId="3" borderId="10" xfId="0" applyNumberFormat="1" applyFont="1" applyFill="1" applyBorder="1" applyAlignment="1"/>
    <xf numFmtId="164" fontId="8" fillId="3" borderId="15" xfId="0" applyNumberFormat="1" applyFont="1" applyFill="1" applyBorder="1" applyAlignment="1"/>
    <xf numFmtId="0" fontId="20" fillId="3" borderId="1" xfId="0" applyFont="1" applyFill="1" applyBorder="1" applyAlignment="1"/>
    <xf numFmtId="2" fontId="21" fillId="3" borderId="3" xfId="0" applyNumberFormat="1" applyFont="1" applyFill="1" applyBorder="1" applyAlignment="1"/>
    <xf numFmtId="2" fontId="18" fillId="5" borderId="11" xfId="1" applyNumberFormat="1" applyFill="1" applyBorder="1" applyAlignment="1">
      <alignment horizontal="center"/>
    </xf>
    <xf numFmtId="2" fontId="18" fillId="5" borderId="12" xfId="1" applyNumberFormat="1" applyFill="1" applyBorder="1" applyAlignment="1">
      <alignment horizontal="center"/>
    </xf>
    <xf numFmtId="0" fontId="4" fillId="3" borderId="14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207"/>
  <sheetViews>
    <sheetView showGridLines="0" tabSelected="1" showOutlineSymbols="0" zoomScale="120" zoomScaleNormal="120" workbookViewId="0"/>
  </sheetViews>
  <sheetFormatPr defaultColWidth="8.7109375" defaultRowHeight="12.75"/>
  <cols>
    <col min="1" max="4" width="10.7109375" customWidth="1"/>
    <col min="5" max="14" width="9.7109375" customWidth="1"/>
  </cols>
  <sheetData>
    <row r="1" spans="1:20" ht="30">
      <c r="A1" s="117" t="s">
        <v>288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6"/>
      <c r="P1" s="6"/>
      <c r="Q1" s="6"/>
      <c r="R1" s="6"/>
      <c r="S1" s="6"/>
      <c r="T1" s="6"/>
    </row>
    <row r="2" spans="1:20" ht="18">
      <c r="A2" s="120" t="s">
        <v>287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"/>
      <c r="O2" s="6"/>
      <c r="P2" s="6"/>
      <c r="Q2" s="6"/>
      <c r="R2" s="6"/>
      <c r="S2" s="6"/>
      <c r="T2" s="6"/>
    </row>
    <row r="3" spans="1:20" ht="18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6"/>
      <c r="P3" s="6"/>
      <c r="Q3" s="6"/>
      <c r="R3" s="6"/>
      <c r="S3" s="6"/>
      <c r="T3" s="6"/>
    </row>
    <row r="4" spans="1:20" ht="13.5" thickBot="1">
      <c r="A4" s="9"/>
      <c r="B4" s="10"/>
      <c r="C4" s="10"/>
      <c r="D4" s="10"/>
      <c r="E4" s="10"/>
      <c r="F4" s="10"/>
      <c r="G4" s="10"/>
      <c r="H4" s="10"/>
      <c r="I4" s="10"/>
      <c r="J4" s="93"/>
      <c r="K4" s="92"/>
      <c r="L4" s="10"/>
      <c r="M4" s="10"/>
      <c r="N4" s="4"/>
      <c r="O4" s="6"/>
      <c r="P4" s="6"/>
      <c r="Q4" s="6"/>
      <c r="R4" s="6"/>
      <c r="S4" s="6"/>
      <c r="T4" s="6"/>
    </row>
    <row r="5" spans="1:20" ht="17.25" thickTop="1" thickBot="1">
      <c r="A5" s="89" t="s">
        <v>276</v>
      </c>
      <c r="B5" s="90"/>
      <c r="C5" s="90"/>
      <c r="D5" s="90"/>
      <c r="E5" s="90"/>
      <c r="F5" s="90"/>
      <c r="G5" s="90"/>
      <c r="H5" s="90"/>
      <c r="I5" s="90"/>
      <c r="J5" s="91"/>
      <c r="K5" s="118" t="s">
        <v>277</v>
      </c>
      <c r="L5" s="118"/>
      <c r="M5" s="119"/>
      <c r="N5" s="88"/>
      <c r="O5" s="6"/>
      <c r="P5" s="6"/>
      <c r="Q5" s="6"/>
      <c r="R5" s="6"/>
      <c r="S5" s="6"/>
      <c r="T5" s="6"/>
    </row>
    <row r="6" spans="1:20" ht="19.5" thickTop="1" thickBot="1">
      <c r="A6" s="14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4"/>
      <c r="O6" s="6"/>
      <c r="P6" s="6"/>
      <c r="Q6" s="6"/>
      <c r="R6" s="6"/>
      <c r="S6" s="6"/>
      <c r="T6" s="6"/>
    </row>
    <row r="7" spans="1:20" ht="14.25" thickTop="1" thickBot="1">
      <c r="A7" s="94" t="s">
        <v>278</v>
      </c>
      <c r="B7" s="95"/>
      <c r="C7" s="96" t="s">
        <v>279</v>
      </c>
      <c r="D7" s="97"/>
      <c r="E7" s="98"/>
      <c r="F7" s="94"/>
      <c r="G7" s="99" t="s">
        <v>280</v>
      </c>
      <c r="H7" s="96" t="s">
        <v>1</v>
      </c>
      <c r="I7" s="97"/>
      <c r="J7" s="100"/>
      <c r="K7" s="101"/>
      <c r="L7" s="86"/>
      <c r="M7" s="36"/>
      <c r="N7" s="4"/>
      <c r="O7" s="6"/>
      <c r="P7" s="6"/>
      <c r="Q7" s="6"/>
      <c r="R7" s="6"/>
      <c r="S7" s="6"/>
      <c r="T7" s="6"/>
    </row>
    <row r="8" spans="1:20" ht="14.25" thickTop="1" thickBot="1">
      <c r="A8" s="94" t="s">
        <v>281</v>
      </c>
      <c r="B8" s="95"/>
      <c r="C8" s="102" t="s">
        <v>282</v>
      </c>
      <c r="D8" s="103"/>
      <c r="E8" s="104"/>
      <c r="F8" s="105"/>
      <c r="G8" s="99" t="s">
        <v>283</v>
      </c>
      <c r="H8" s="106" t="s">
        <v>284</v>
      </c>
      <c r="I8" s="103"/>
      <c r="J8" s="98"/>
      <c r="K8" s="107"/>
      <c r="L8" s="86"/>
      <c r="M8" s="36"/>
      <c r="N8" s="4"/>
      <c r="O8" s="6"/>
      <c r="P8" s="6"/>
      <c r="Q8" s="6"/>
      <c r="R8" s="6"/>
      <c r="S8" s="6"/>
      <c r="T8" s="6"/>
    </row>
    <row r="9" spans="1:20" ht="13.5" thickTop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36"/>
      <c r="N9" s="4"/>
      <c r="O9" s="6"/>
      <c r="P9" s="6"/>
      <c r="Q9" s="6"/>
      <c r="R9" s="6"/>
      <c r="S9" s="6"/>
      <c r="T9" s="6"/>
    </row>
    <row r="10" spans="1:20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36"/>
      <c r="N10" s="4"/>
      <c r="O10" s="6"/>
      <c r="P10" s="6"/>
      <c r="Q10" s="6"/>
      <c r="R10" s="6"/>
      <c r="S10" s="6"/>
      <c r="T10" s="6"/>
    </row>
    <row r="11" spans="1:20">
      <c r="A11" s="108" t="s">
        <v>285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36"/>
      <c r="N11" s="4"/>
      <c r="O11" s="6"/>
      <c r="P11" s="6"/>
      <c r="Q11" s="6"/>
      <c r="R11" s="6"/>
      <c r="S11" s="6"/>
      <c r="T11" s="6"/>
    </row>
    <row r="12" spans="1:20">
      <c r="A12" s="86"/>
      <c r="B12" s="86"/>
      <c r="C12" s="87"/>
      <c r="D12" s="86"/>
      <c r="E12" s="86"/>
      <c r="F12" s="86"/>
      <c r="G12" s="86"/>
      <c r="H12" s="86"/>
      <c r="I12" s="86"/>
      <c r="J12" s="86"/>
      <c r="K12" s="86"/>
      <c r="L12" s="86"/>
      <c r="M12" s="36"/>
      <c r="N12" s="4"/>
      <c r="O12" s="6"/>
      <c r="P12" s="6"/>
      <c r="Q12" s="6"/>
      <c r="R12" s="6"/>
      <c r="S12" s="6"/>
      <c r="T12" s="6"/>
    </row>
    <row r="13" spans="1:20" ht="13.5" thickBot="1">
      <c r="A13" s="33"/>
      <c r="B13" s="36"/>
      <c r="C13" s="86"/>
      <c r="D13" s="36"/>
      <c r="E13" s="36"/>
      <c r="F13" s="36"/>
      <c r="G13" s="36"/>
      <c r="H13" s="36"/>
      <c r="I13" s="86"/>
      <c r="J13" s="86"/>
      <c r="K13" s="86"/>
      <c r="L13" s="36"/>
      <c r="M13" s="36"/>
      <c r="N13" s="4"/>
      <c r="O13" s="6"/>
      <c r="P13" s="6"/>
      <c r="Q13" s="6"/>
      <c r="R13" s="6"/>
      <c r="S13" s="6"/>
      <c r="T13" s="6"/>
    </row>
    <row r="14" spans="1:20" ht="19.5" thickTop="1" thickBot="1">
      <c r="A14" s="109" t="s">
        <v>3</v>
      </c>
      <c r="B14" s="110"/>
      <c r="C14" s="110"/>
      <c r="D14" s="110"/>
      <c r="E14" s="110"/>
      <c r="F14" s="110"/>
      <c r="G14" s="110"/>
      <c r="H14" s="110"/>
      <c r="I14" s="110" t="s">
        <v>4</v>
      </c>
      <c r="J14" s="110"/>
      <c r="K14" s="110"/>
      <c r="L14" s="110"/>
      <c r="M14" s="111"/>
      <c r="N14" s="88"/>
      <c r="O14" s="6"/>
      <c r="P14" s="6"/>
      <c r="Q14" s="6"/>
      <c r="R14" s="6"/>
      <c r="S14" s="6"/>
      <c r="T14" s="6"/>
    </row>
    <row r="15" spans="1:20" ht="14.25" thickTop="1" thickBot="1">
      <c r="A15" s="3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4"/>
      <c r="O15" s="6"/>
      <c r="P15" s="6"/>
      <c r="Q15" s="6"/>
      <c r="R15" s="6"/>
      <c r="S15" s="6"/>
      <c r="T15" s="6"/>
    </row>
    <row r="16" spans="1:20">
      <c r="A16" s="33" t="s">
        <v>5</v>
      </c>
      <c r="B16" s="36"/>
      <c r="C16" s="36"/>
      <c r="D16" s="36" t="s">
        <v>6</v>
      </c>
      <c r="E16" s="36"/>
      <c r="F16" s="69">
        <v>90</v>
      </c>
      <c r="G16" s="33" t="s">
        <v>7</v>
      </c>
      <c r="H16" s="36"/>
      <c r="I16" s="36" t="s">
        <v>8</v>
      </c>
      <c r="J16" s="36"/>
      <c r="K16" s="36"/>
      <c r="L16" s="66">
        <v>0</v>
      </c>
      <c r="M16" s="33"/>
      <c r="N16" s="33"/>
      <c r="O16" s="6"/>
      <c r="P16" s="6"/>
      <c r="Q16" s="6"/>
      <c r="R16" s="6"/>
      <c r="S16" s="6"/>
      <c r="T16" s="6"/>
    </row>
    <row r="17" spans="1:20">
      <c r="A17" s="33" t="s">
        <v>9</v>
      </c>
      <c r="B17" s="36"/>
      <c r="C17" s="36"/>
      <c r="D17" s="36" t="s">
        <v>10</v>
      </c>
      <c r="E17" s="36"/>
      <c r="F17" s="69">
        <v>190</v>
      </c>
      <c r="G17" s="33" t="s">
        <v>7</v>
      </c>
      <c r="H17" s="36"/>
      <c r="I17" s="36" t="s">
        <v>11</v>
      </c>
      <c r="J17" s="36"/>
      <c r="K17" s="36"/>
      <c r="L17" s="55">
        <v>1</v>
      </c>
      <c r="M17" s="29"/>
      <c r="N17" s="33"/>
      <c r="O17" s="6"/>
      <c r="P17" s="6"/>
      <c r="Q17" s="6"/>
      <c r="R17" s="6"/>
      <c r="S17" s="6"/>
      <c r="T17" s="6"/>
    </row>
    <row r="18" spans="1:20">
      <c r="A18" s="33" t="s">
        <v>12</v>
      </c>
      <c r="B18" s="36"/>
      <c r="C18" s="36"/>
      <c r="D18" s="36" t="s">
        <v>13</v>
      </c>
      <c r="E18" s="36"/>
      <c r="F18" s="69">
        <v>-55</v>
      </c>
      <c r="G18" s="33" t="s">
        <v>14</v>
      </c>
      <c r="H18" s="36"/>
      <c r="I18" s="36" t="s">
        <v>15</v>
      </c>
      <c r="J18" s="36"/>
      <c r="K18" s="36"/>
      <c r="L18" s="20"/>
      <c r="M18" s="36"/>
      <c r="N18" s="33"/>
      <c r="O18" s="6"/>
      <c r="P18" s="6"/>
      <c r="Q18" s="6"/>
      <c r="R18" s="6"/>
      <c r="S18" s="6"/>
      <c r="T18" s="6"/>
    </row>
    <row r="19" spans="1:20">
      <c r="A19" s="33" t="s">
        <v>16</v>
      </c>
      <c r="B19" s="36"/>
      <c r="C19" s="36"/>
      <c r="D19" s="36" t="s">
        <v>17</v>
      </c>
      <c r="E19" s="36"/>
      <c r="F19" s="69">
        <v>-50</v>
      </c>
      <c r="G19" s="33" t="s">
        <v>14</v>
      </c>
      <c r="H19" s="36"/>
      <c r="I19" s="36" t="s">
        <v>18</v>
      </c>
      <c r="J19" s="36"/>
      <c r="K19" s="36"/>
      <c r="L19" s="78">
        <v>7.4999999999999997E-2</v>
      </c>
      <c r="M19" s="33"/>
      <c r="N19" s="33"/>
      <c r="O19" s="6"/>
      <c r="P19" s="6"/>
      <c r="Q19" s="6"/>
      <c r="R19" s="6"/>
      <c r="S19" s="6"/>
      <c r="T19" s="6"/>
    </row>
    <row r="20" spans="1:20">
      <c r="A20" s="33" t="s">
        <v>19</v>
      </c>
      <c r="B20" s="36"/>
      <c r="C20" s="36"/>
      <c r="D20" s="36" t="s">
        <v>20</v>
      </c>
      <c r="E20" s="36"/>
      <c r="F20" s="69">
        <v>0.36</v>
      </c>
      <c r="G20" s="33" t="s">
        <v>21</v>
      </c>
      <c r="H20" s="36"/>
      <c r="I20" s="36"/>
      <c r="J20" s="36"/>
      <c r="K20" s="36"/>
      <c r="L20" s="23"/>
      <c r="M20" s="36"/>
      <c r="N20" s="33"/>
      <c r="O20" s="6"/>
      <c r="P20" s="6"/>
      <c r="Q20" s="6"/>
      <c r="R20" s="6"/>
      <c r="S20" s="6"/>
      <c r="T20" s="6"/>
    </row>
    <row r="21" spans="1:20">
      <c r="A21" s="33" t="s">
        <v>22</v>
      </c>
      <c r="B21" s="36"/>
      <c r="C21" s="36"/>
      <c r="D21" s="36" t="s">
        <v>23</v>
      </c>
      <c r="E21" s="36"/>
      <c r="F21" s="66">
        <v>0.15</v>
      </c>
      <c r="G21" s="33" t="s">
        <v>21</v>
      </c>
      <c r="H21" s="36"/>
      <c r="I21" s="36"/>
      <c r="J21" s="36"/>
      <c r="K21" s="36"/>
      <c r="L21" s="36"/>
      <c r="M21" s="36"/>
      <c r="N21" s="33"/>
      <c r="O21" s="6"/>
      <c r="P21" s="6"/>
      <c r="Q21" s="6"/>
      <c r="R21" s="6"/>
      <c r="S21" s="6"/>
      <c r="T21" s="6"/>
    </row>
    <row r="22" spans="1:20">
      <c r="A22" s="33" t="s">
        <v>24</v>
      </c>
      <c r="B22" s="36"/>
      <c r="C22" s="36"/>
      <c r="D22" s="36" t="s">
        <v>25</v>
      </c>
      <c r="E22" s="36"/>
      <c r="F22" s="69">
        <v>290</v>
      </c>
      <c r="G22" s="33" t="s">
        <v>26</v>
      </c>
      <c r="H22" s="36"/>
      <c r="I22" s="36"/>
      <c r="J22" s="36"/>
      <c r="K22" s="36"/>
      <c r="L22" s="36"/>
      <c r="M22" s="36"/>
      <c r="N22" s="33"/>
      <c r="O22" s="6"/>
      <c r="P22" s="6"/>
      <c r="Q22" s="6"/>
      <c r="R22" s="6"/>
      <c r="S22" s="6"/>
      <c r="T22" s="6"/>
    </row>
    <row r="23" spans="1:20">
      <c r="A23" s="33" t="s">
        <v>27</v>
      </c>
      <c r="B23" s="36"/>
      <c r="C23" s="36"/>
      <c r="D23" s="36" t="s">
        <v>28</v>
      </c>
      <c r="E23" s="36"/>
      <c r="F23" s="69">
        <v>3.5</v>
      </c>
      <c r="G23" s="33" t="s">
        <v>29</v>
      </c>
      <c r="H23" s="36"/>
      <c r="I23" s="36"/>
      <c r="J23" s="36"/>
      <c r="K23" s="36"/>
      <c r="L23" s="36"/>
      <c r="M23" s="36"/>
      <c r="N23" s="33"/>
      <c r="O23" s="6"/>
      <c r="P23" s="6"/>
      <c r="Q23" s="6"/>
      <c r="R23" s="6"/>
      <c r="S23" s="6"/>
      <c r="T23" s="6"/>
    </row>
    <row r="24" spans="1:20">
      <c r="A24" s="33" t="s">
        <v>30</v>
      </c>
      <c r="B24" s="36"/>
      <c r="C24" s="36"/>
      <c r="D24" s="36" t="s">
        <v>31</v>
      </c>
      <c r="E24" s="36"/>
      <c r="F24" s="69">
        <v>3</v>
      </c>
      <c r="G24" s="33" t="s">
        <v>32</v>
      </c>
      <c r="H24" s="36"/>
      <c r="I24" s="36"/>
      <c r="J24" s="36"/>
      <c r="K24" s="36"/>
      <c r="L24" s="36"/>
      <c r="M24" s="36"/>
      <c r="N24" s="33"/>
      <c r="O24" s="6"/>
      <c r="P24" s="6"/>
      <c r="Q24" s="6"/>
      <c r="R24" s="6"/>
      <c r="S24" s="6"/>
      <c r="T24" s="6"/>
    </row>
    <row r="25" spans="1:20" ht="14.25" thickTop="1" thickBot="1">
      <c r="A25" s="33"/>
      <c r="B25" s="36"/>
      <c r="C25" s="36"/>
      <c r="D25" s="36"/>
      <c r="E25" s="36"/>
      <c r="F25" s="23"/>
      <c r="G25" s="36"/>
      <c r="H25" s="36"/>
      <c r="I25" s="36"/>
      <c r="J25" s="36"/>
      <c r="K25" s="36"/>
      <c r="L25" s="36"/>
      <c r="M25" s="36"/>
      <c r="N25" s="33"/>
      <c r="O25" s="6"/>
      <c r="P25" s="6"/>
      <c r="Q25" s="6"/>
      <c r="R25" s="6"/>
      <c r="S25" s="6"/>
      <c r="T25" s="6"/>
    </row>
    <row r="26" spans="1:20" ht="19.5" thickTop="1" thickBot="1">
      <c r="A26" s="109" t="s">
        <v>33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1"/>
      <c r="N26" s="86"/>
      <c r="O26" s="6"/>
      <c r="P26" s="6"/>
      <c r="Q26" s="6"/>
      <c r="R26" s="6"/>
      <c r="S26" s="6"/>
      <c r="T26" s="6"/>
    </row>
    <row r="27" spans="1:20" ht="13.5" thickTop="1">
      <c r="A27" s="33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3"/>
      <c r="O27" s="6"/>
      <c r="P27" s="6"/>
      <c r="Q27" s="6"/>
      <c r="R27" s="6"/>
      <c r="S27" s="6"/>
      <c r="T27" s="6"/>
    </row>
    <row r="28" spans="1:20" ht="15.75">
      <c r="A28" s="79" t="s">
        <v>34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3"/>
      <c r="O28" s="6"/>
      <c r="P28" s="6"/>
      <c r="Q28" s="6"/>
      <c r="R28" s="6"/>
      <c r="S28" s="6"/>
      <c r="T28" s="6"/>
    </row>
    <row r="29" spans="1:20">
      <c r="A29" s="33" t="s">
        <v>35</v>
      </c>
      <c r="B29" s="36"/>
      <c r="C29" s="5"/>
      <c r="D29" s="36" t="s">
        <v>36</v>
      </c>
      <c r="E29" s="66">
        <v>1</v>
      </c>
      <c r="F29" s="32" t="s">
        <v>37</v>
      </c>
      <c r="G29" s="66">
        <v>1.85</v>
      </c>
      <c r="H29" s="32" t="s">
        <v>38</v>
      </c>
      <c r="I29" s="66">
        <v>1.85</v>
      </c>
      <c r="J29" s="33" t="s">
        <v>39</v>
      </c>
      <c r="K29" s="36"/>
      <c r="L29" s="36"/>
      <c r="M29" s="36"/>
      <c r="N29" s="33"/>
      <c r="O29" s="6"/>
      <c r="P29" s="6"/>
      <c r="Q29" s="6"/>
      <c r="R29" s="6"/>
      <c r="S29" s="6"/>
      <c r="T29" s="6"/>
    </row>
    <row r="30" spans="1:20">
      <c r="A30" s="33" t="s">
        <v>40</v>
      </c>
      <c r="B30" s="36"/>
      <c r="C30" s="36"/>
      <c r="D30" s="36"/>
      <c r="E30" s="3"/>
      <c r="F30" s="36" t="s">
        <v>41</v>
      </c>
      <c r="G30" s="69">
        <v>0.9</v>
      </c>
      <c r="H30" s="33" t="s">
        <v>32</v>
      </c>
      <c r="I30" s="23"/>
      <c r="J30" s="36"/>
      <c r="K30" s="36"/>
      <c r="L30" s="36"/>
      <c r="M30" s="36"/>
      <c r="N30" s="33"/>
      <c r="O30" s="6"/>
      <c r="P30" s="6"/>
      <c r="Q30" s="6"/>
      <c r="R30" s="6"/>
      <c r="S30" s="6"/>
      <c r="T30" s="6"/>
    </row>
    <row r="31" spans="1:20">
      <c r="A31" s="33" t="s">
        <v>42</v>
      </c>
      <c r="B31" s="36"/>
      <c r="C31" s="36"/>
      <c r="D31" s="36"/>
      <c r="E31" s="5"/>
      <c r="F31" s="36" t="s">
        <v>43</v>
      </c>
      <c r="G31" s="69">
        <v>0.17</v>
      </c>
      <c r="H31" s="33" t="s">
        <v>21</v>
      </c>
      <c r="I31" s="36"/>
      <c r="J31" s="36"/>
      <c r="K31" s="36"/>
      <c r="L31" s="36"/>
      <c r="M31" s="36"/>
      <c r="N31" s="33"/>
      <c r="O31" s="6"/>
      <c r="P31" s="6"/>
      <c r="Q31" s="6"/>
      <c r="R31" s="6"/>
      <c r="S31" s="6"/>
      <c r="T31" s="6"/>
    </row>
    <row r="32" spans="1:20">
      <c r="A32" s="33" t="s">
        <v>44</v>
      </c>
      <c r="B32" s="36"/>
      <c r="C32" s="36"/>
      <c r="D32" s="36"/>
      <c r="E32" s="5"/>
      <c r="F32" s="36" t="s">
        <v>45</v>
      </c>
      <c r="G32" s="69">
        <v>0.15</v>
      </c>
      <c r="H32" s="33" t="s">
        <v>21</v>
      </c>
      <c r="I32" s="36"/>
      <c r="J32" s="36"/>
      <c r="K32" s="36"/>
      <c r="L32" s="36"/>
      <c r="M32" s="36"/>
      <c r="N32" s="33"/>
      <c r="O32" s="6"/>
      <c r="P32" s="6"/>
      <c r="Q32" s="6"/>
      <c r="R32" s="6"/>
      <c r="S32" s="6"/>
      <c r="T32" s="6"/>
    </row>
    <row r="33" spans="1:20">
      <c r="A33" s="33"/>
      <c r="B33" s="36"/>
      <c r="C33" s="36"/>
      <c r="D33" s="36"/>
      <c r="E33" s="5"/>
      <c r="F33" s="36"/>
      <c r="G33" s="23"/>
      <c r="H33" s="36"/>
      <c r="I33" s="36"/>
      <c r="J33" s="36"/>
      <c r="K33" s="36"/>
      <c r="L33" s="36"/>
      <c r="M33" s="36"/>
      <c r="N33" s="33"/>
      <c r="O33" s="6"/>
      <c r="P33" s="6"/>
      <c r="Q33" s="6"/>
      <c r="R33" s="6"/>
      <c r="S33" s="6"/>
      <c r="T33" s="6"/>
    </row>
    <row r="34" spans="1:20">
      <c r="A34" s="33" t="s">
        <v>46</v>
      </c>
      <c r="B34" s="36"/>
      <c r="C34" s="36"/>
      <c r="D34" s="36"/>
      <c r="E34" s="5"/>
      <c r="F34" s="5"/>
      <c r="G34" s="36" t="s">
        <v>47</v>
      </c>
      <c r="H34" s="56">
        <f>(PHIDWTR+PHINWTR)/2</f>
        <v>0.16</v>
      </c>
      <c r="I34" s="29" t="s">
        <v>21</v>
      </c>
      <c r="J34" s="36"/>
      <c r="K34" s="36"/>
      <c r="L34" s="36"/>
      <c r="M34" s="36"/>
      <c r="N34" s="33"/>
      <c r="O34" s="5"/>
      <c r="P34" s="5"/>
      <c r="Q34" s="5"/>
      <c r="R34" s="5"/>
      <c r="S34" s="5"/>
      <c r="T34" s="5"/>
    </row>
    <row r="35" spans="1:20">
      <c r="A35" s="33" t="s">
        <v>48</v>
      </c>
      <c r="B35" s="36"/>
      <c r="C35" s="36"/>
      <c r="D35" s="36"/>
      <c r="E35" s="5"/>
      <c r="F35" s="5"/>
      <c r="G35" s="36" t="s">
        <v>49</v>
      </c>
      <c r="H35" s="56">
        <f>(PHIWTR^M)*RO/A</f>
        <v>3.0329445987860817E-2</v>
      </c>
      <c r="I35" s="29" t="s">
        <v>50</v>
      </c>
      <c r="J35" s="36"/>
      <c r="K35" s="36"/>
      <c r="L35" s="36"/>
      <c r="M35" s="36"/>
      <c r="N35" s="33"/>
      <c r="O35" s="5"/>
      <c r="P35" s="5"/>
      <c r="Q35" s="5"/>
      <c r="R35" s="5"/>
      <c r="S35" s="5"/>
      <c r="T35" s="5"/>
    </row>
    <row r="36" spans="1:20">
      <c r="A36" s="1" t="s">
        <v>51</v>
      </c>
      <c r="B36" s="36"/>
      <c r="C36" s="36"/>
      <c r="D36" s="36"/>
      <c r="E36" s="36"/>
      <c r="F36" s="36"/>
      <c r="G36" s="36"/>
      <c r="H36" s="20"/>
      <c r="I36" s="36"/>
      <c r="J36" s="36"/>
      <c r="K36" s="36"/>
      <c r="L36" s="36"/>
      <c r="M36" s="36"/>
      <c r="N36" s="33"/>
      <c r="O36" s="5"/>
      <c r="P36" s="5"/>
      <c r="Q36" s="5"/>
      <c r="R36" s="5"/>
      <c r="S36" s="5"/>
      <c r="T36" s="5"/>
    </row>
    <row r="37" spans="1:20" ht="15.75">
      <c r="A37" s="79" t="s">
        <v>52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3"/>
      <c r="O37" s="5"/>
      <c r="P37" s="5"/>
      <c r="Q37" s="5"/>
      <c r="R37" s="5"/>
      <c r="S37" s="5"/>
      <c r="T37" s="5"/>
    </row>
    <row r="38" spans="1:20">
      <c r="A38" s="33" t="s">
        <v>53</v>
      </c>
      <c r="B38" s="5"/>
      <c r="C38" s="5"/>
      <c r="D38" s="36"/>
      <c r="E38" s="36" t="s">
        <v>54</v>
      </c>
      <c r="F38" s="69">
        <v>15</v>
      </c>
      <c r="G38" s="33"/>
      <c r="H38" s="36" t="s">
        <v>55</v>
      </c>
      <c r="I38" s="65">
        <v>130</v>
      </c>
      <c r="J38" s="33" t="s">
        <v>56</v>
      </c>
      <c r="K38" s="36"/>
      <c r="L38" s="36"/>
      <c r="M38" s="36"/>
      <c r="N38" s="33"/>
      <c r="O38" s="5"/>
      <c r="P38" s="5"/>
      <c r="Q38" s="5"/>
      <c r="R38" s="5"/>
      <c r="S38" s="5"/>
      <c r="T38" s="5"/>
    </row>
    <row r="39" spans="1:20">
      <c r="A39" s="33" t="s">
        <v>57</v>
      </c>
      <c r="B39" s="5"/>
      <c r="C39" s="5"/>
      <c r="D39" s="36" t="s">
        <v>58</v>
      </c>
      <c r="E39" s="36"/>
      <c r="F39" s="69">
        <v>3050</v>
      </c>
      <c r="G39" s="33" t="s">
        <v>59</v>
      </c>
      <c r="H39" s="36"/>
      <c r="I39" s="69">
        <v>3050</v>
      </c>
      <c r="J39" s="33" t="s">
        <v>60</v>
      </c>
      <c r="K39" s="36"/>
      <c r="L39" s="36"/>
      <c r="M39" s="36"/>
      <c r="N39" s="33"/>
      <c r="O39" s="5"/>
      <c r="P39" s="5"/>
      <c r="Q39" s="5"/>
      <c r="R39" s="5"/>
      <c r="S39" s="5"/>
      <c r="T39" s="5"/>
    </row>
    <row r="40" spans="1:20">
      <c r="A40" s="33" t="s">
        <v>61</v>
      </c>
      <c r="B40" s="36"/>
      <c r="C40" s="36"/>
      <c r="D40" s="36" t="s">
        <v>62</v>
      </c>
      <c r="E40" s="36"/>
      <c r="F40" s="67">
        <v>0.08</v>
      </c>
      <c r="G40" s="33" t="s">
        <v>32</v>
      </c>
      <c r="H40" s="36" t="s">
        <v>63</v>
      </c>
      <c r="I40" s="69">
        <v>25</v>
      </c>
      <c r="J40" s="33" t="s">
        <v>56</v>
      </c>
      <c r="K40" s="36" t="s">
        <v>64</v>
      </c>
      <c r="L40" s="78">
        <v>21.5</v>
      </c>
      <c r="M40" s="33"/>
      <c r="N40" s="33"/>
      <c r="O40" s="5"/>
      <c r="P40" s="5"/>
      <c r="Q40" s="5"/>
      <c r="R40" s="5"/>
      <c r="S40" s="5"/>
      <c r="T40" s="5"/>
    </row>
    <row r="41" spans="1:20">
      <c r="A41" s="33"/>
      <c r="B41" s="36"/>
      <c r="C41" s="36"/>
      <c r="D41" s="36"/>
      <c r="E41" s="36"/>
      <c r="F41" s="23"/>
      <c r="G41" s="36"/>
      <c r="H41" s="36"/>
      <c r="I41" s="23"/>
      <c r="J41" s="36"/>
      <c r="K41" s="36"/>
      <c r="L41" s="23"/>
      <c r="M41" s="36"/>
      <c r="N41" s="33"/>
      <c r="O41" s="5"/>
      <c r="P41" s="5"/>
      <c r="Q41" s="5"/>
      <c r="R41" s="5"/>
      <c r="S41" s="5"/>
      <c r="T41" s="5"/>
    </row>
    <row r="42" spans="1:20">
      <c r="A42" s="33" t="s">
        <v>65</v>
      </c>
      <c r="B42" s="36"/>
      <c r="C42" s="36"/>
      <c r="D42" s="36"/>
      <c r="E42" s="36"/>
      <c r="F42" s="5"/>
      <c r="G42" s="36" t="s">
        <v>66</v>
      </c>
      <c r="H42" s="56">
        <f>(BHT-SUFT)/BHTDEPTH</f>
        <v>3.7704918032786888E-2</v>
      </c>
      <c r="I42" s="29" t="s">
        <v>67</v>
      </c>
      <c r="J42" s="36"/>
      <c r="K42" s="36"/>
      <c r="L42" s="36"/>
      <c r="M42" s="36"/>
      <c r="N42" s="33"/>
      <c r="O42" s="5"/>
      <c r="P42" s="5"/>
      <c r="Q42" s="5"/>
      <c r="R42" s="5"/>
      <c r="S42" s="5"/>
      <c r="T42" s="5"/>
    </row>
    <row r="43" spans="1:20">
      <c r="A43" s="33" t="s">
        <v>68</v>
      </c>
      <c r="B43" s="36"/>
      <c r="C43" s="36"/>
      <c r="D43" s="36"/>
      <c r="E43" s="36"/>
      <c r="F43" s="5"/>
      <c r="G43" s="36" t="s">
        <v>69</v>
      </c>
      <c r="H43" s="58">
        <f>SUFT+GRAD*DEPTH</f>
        <v>130</v>
      </c>
      <c r="I43" s="29" t="s">
        <v>56</v>
      </c>
      <c r="J43" s="36"/>
      <c r="K43" s="36"/>
      <c r="L43" s="36"/>
      <c r="M43" s="36"/>
      <c r="N43" s="33"/>
      <c r="O43" s="5"/>
      <c r="P43" s="5"/>
      <c r="Q43" s="5"/>
      <c r="R43" s="5"/>
      <c r="S43" s="5"/>
      <c r="T43" s="5"/>
    </row>
    <row r="44" spans="1:20">
      <c r="A44" s="33" t="s">
        <v>70</v>
      </c>
      <c r="B44" s="36"/>
      <c r="C44" s="36"/>
      <c r="D44" s="36"/>
      <c r="E44" s="36"/>
      <c r="F44" s="5"/>
      <c r="G44" s="36" t="s">
        <v>71</v>
      </c>
      <c r="H44" s="56">
        <f>RWCAT*(TRW+KT_1)/(FT+KT_1)</f>
        <v>2.4554455445544555E-2</v>
      </c>
      <c r="I44" s="29" t="s">
        <v>50</v>
      </c>
      <c r="J44" s="36"/>
      <c r="K44" s="36"/>
      <c r="L44" s="36"/>
      <c r="M44" s="36"/>
      <c r="N44" s="33"/>
      <c r="O44" s="5"/>
      <c r="P44" s="5"/>
      <c r="Q44" s="5"/>
      <c r="R44" s="5"/>
      <c r="S44" s="5"/>
      <c r="T44" s="5"/>
    </row>
    <row r="45" spans="1:20">
      <c r="A45" s="33"/>
      <c r="B45" s="36"/>
      <c r="C45" s="36"/>
      <c r="D45" s="36"/>
      <c r="E45" s="36"/>
      <c r="F45" s="36"/>
      <c r="G45" s="36"/>
      <c r="H45" s="20"/>
      <c r="I45" s="36"/>
      <c r="J45" s="36"/>
      <c r="K45" s="36"/>
      <c r="L45" s="36"/>
      <c r="M45" s="36"/>
      <c r="N45" s="33"/>
      <c r="O45" s="5"/>
      <c r="P45" s="5"/>
      <c r="Q45" s="5"/>
      <c r="R45" s="5"/>
      <c r="S45" s="5"/>
      <c r="T45" s="5"/>
    </row>
    <row r="46" spans="1:20" ht="15.75">
      <c r="A46" s="79" t="s">
        <v>72</v>
      </c>
      <c r="B46" s="80"/>
      <c r="C46" s="80"/>
      <c r="D46" s="5"/>
      <c r="E46" s="5"/>
      <c r="F46" s="5"/>
      <c r="G46" s="80" t="s">
        <v>73</v>
      </c>
      <c r="H46" s="56">
        <f>RW_2</f>
        <v>2.4554455445544555E-2</v>
      </c>
      <c r="I46" s="29" t="s">
        <v>50</v>
      </c>
      <c r="J46" s="80"/>
      <c r="K46" s="80"/>
      <c r="L46" s="80"/>
      <c r="M46" s="80"/>
      <c r="N46" s="33"/>
      <c r="O46" s="5"/>
      <c r="P46" s="5"/>
      <c r="Q46" s="5"/>
      <c r="R46" s="5"/>
      <c r="S46" s="5"/>
      <c r="T46" s="5"/>
    </row>
    <row r="47" spans="1:20" ht="14.25" thickTop="1" thickBot="1">
      <c r="A47" s="33"/>
      <c r="B47" s="36"/>
      <c r="C47" s="36"/>
      <c r="D47" s="36"/>
      <c r="E47" s="36"/>
      <c r="F47" s="36"/>
      <c r="G47" s="36"/>
      <c r="H47" s="20"/>
      <c r="I47" s="36"/>
      <c r="J47" s="36"/>
      <c r="K47" s="36"/>
      <c r="L47" s="36"/>
      <c r="M47" s="36"/>
      <c r="N47" s="33"/>
      <c r="O47" s="5"/>
      <c r="P47" s="5"/>
      <c r="Q47" s="5"/>
      <c r="R47" s="5"/>
      <c r="S47" s="5"/>
      <c r="T47" s="5"/>
    </row>
    <row r="48" spans="1:20" ht="19.5" thickTop="1" thickBot="1">
      <c r="A48" s="109" t="s">
        <v>74</v>
      </c>
      <c r="B48" s="110"/>
      <c r="C48" s="110"/>
      <c r="D48" s="110"/>
      <c r="E48" s="110" t="s">
        <v>75</v>
      </c>
      <c r="F48" s="110"/>
      <c r="G48" s="110" t="s">
        <v>76</v>
      </c>
      <c r="H48" s="110"/>
      <c r="I48" s="110" t="s">
        <v>77</v>
      </c>
      <c r="J48" s="110"/>
      <c r="K48" s="110" t="s">
        <v>78</v>
      </c>
      <c r="L48" s="110"/>
      <c r="M48" s="111"/>
      <c r="N48" s="88"/>
      <c r="O48" s="5"/>
      <c r="P48" s="34"/>
      <c r="Q48" s="5"/>
      <c r="R48" s="5"/>
      <c r="S48" s="34"/>
      <c r="T48" s="34"/>
    </row>
    <row r="49" spans="1:20" ht="14.25" thickTop="1" thickBot="1">
      <c r="A49" s="33"/>
      <c r="B49" s="74"/>
      <c r="C49" s="74"/>
      <c r="D49" s="74"/>
      <c r="E49" s="74"/>
      <c r="F49" s="74"/>
      <c r="G49" s="74"/>
      <c r="H49" s="72"/>
      <c r="I49" s="72"/>
      <c r="J49" s="72"/>
      <c r="K49" s="35"/>
      <c r="L49" s="36"/>
      <c r="M49" s="36"/>
      <c r="N49" s="4"/>
      <c r="O49" s="5"/>
      <c r="P49" s="5"/>
      <c r="Q49" s="5"/>
      <c r="R49" s="5"/>
      <c r="S49" s="34"/>
      <c r="T49" s="34"/>
    </row>
    <row r="50" spans="1:20">
      <c r="A50" s="33" t="s">
        <v>79</v>
      </c>
      <c r="B50" s="74"/>
      <c r="C50" s="74" t="s">
        <v>80</v>
      </c>
      <c r="D50" s="74" t="s">
        <v>2</v>
      </c>
      <c r="E50" s="5"/>
      <c r="F50" s="65">
        <v>3050</v>
      </c>
      <c r="G50" s="60"/>
      <c r="H50" s="65">
        <v>3100</v>
      </c>
      <c r="I50" s="61"/>
      <c r="J50" s="65">
        <v>3150</v>
      </c>
      <c r="K50" s="60"/>
      <c r="L50" s="65" t="e">
        <f>NA()</f>
        <v>#N/A</v>
      </c>
      <c r="M50" s="31" t="s">
        <v>81</v>
      </c>
      <c r="N50" s="4"/>
      <c r="O50" s="5"/>
      <c r="P50" s="5"/>
      <c r="Q50" s="5"/>
      <c r="R50" s="5"/>
      <c r="S50" s="34"/>
      <c r="T50" s="34"/>
    </row>
    <row r="51" spans="1:20">
      <c r="A51" s="33" t="s">
        <v>82</v>
      </c>
      <c r="B51" s="74"/>
      <c r="C51" s="74" t="s">
        <v>83</v>
      </c>
      <c r="D51" s="74" t="s">
        <v>2</v>
      </c>
      <c r="E51" s="5"/>
      <c r="F51" s="65">
        <v>3100</v>
      </c>
      <c r="G51" s="60"/>
      <c r="H51" s="65">
        <v>3150</v>
      </c>
      <c r="I51" s="61"/>
      <c r="J51" s="65">
        <v>3200</v>
      </c>
      <c r="K51" s="60"/>
      <c r="L51" s="65" t="e">
        <f>NA()</f>
        <v>#N/A</v>
      </c>
      <c r="M51" s="31" t="s">
        <v>81</v>
      </c>
      <c r="N51" s="4"/>
      <c r="O51" s="5"/>
      <c r="P51" s="5"/>
      <c r="Q51" s="5"/>
      <c r="R51" s="5"/>
      <c r="S51" s="34"/>
      <c r="T51" s="34"/>
    </row>
    <row r="52" spans="1:20">
      <c r="A52" s="33" t="s">
        <v>84</v>
      </c>
      <c r="B52" s="74"/>
      <c r="C52" s="74" t="s">
        <v>85</v>
      </c>
      <c r="D52" s="74" t="s">
        <v>86</v>
      </c>
      <c r="E52" s="5"/>
      <c r="F52" s="65">
        <v>200</v>
      </c>
      <c r="G52" s="60"/>
      <c r="H52" s="65">
        <v>150</v>
      </c>
      <c r="I52" s="60"/>
      <c r="J52" s="65">
        <v>100</v>
      </c>
      <c r="K52" s="60"/>
      <c r="L52" s="65" t="e">
        <f>NA()</f>
        <v>#N/A</v>
      </c>
      <c r="M52" s="33" t="s">
        <v>87</v>
      </c>
      <c r="N52" s="4"/>
      <c r="O52" s="5"/>
      <c r="P52" s="5"/>
      <c r="Q52" s="5"/>
      <c r="R52" s="5"/>
      <c r="S52" s="34"/>
      <c r="T52" s="34"/>
    </row>
    <row r="53" spans="1:20">
      <c r="A53" s="33" t="s">
        <v>88</v>
      </c>
      <c r="B53" s="74"/>
      <c r="C53" s="74" t="s">
        <v>89</v>
      </c>
      <c r="D53" s="74" t="s">
        <v>90</v>
      </c>
      <c r="E53" s="5"/>
      <c r="F53" s="67">
        <v>0.23</v>
      </c>
      <c r="G53" s="62"/>
      <c r="H53" s="67">
        <v>0.25</v>
      </c>
      <c r="I53" s="62"/>
      <c r="J53" s="67">
        <v>0.27</v>
      </c>
      <c r="K53" s="62"/>
      <c r="L53" s="65" t="e">
        <f>NA()</f>
        <v>#N/A</v>
      </c>
      <c r="M53" s="33" t="s">
        <v>91</v>
      </c>
      <c r="N53" s="4"/>
      <c r="O53" s="5"/>
      <c r="P53" s="5"/>
      <c r="Q53" s="5"/>
      <c r="R53" s="5"/>
      <c r="S53" s="34"/>
      <c r="T53" s="34"/>
    </row>
    <row r="54" spans="1:20">
      <c r="A54" s="33" t="s">
        <v>92</v>
      </c>
      <c r="B54" s="74"/>
      <c r="C54" s="74" t="s">
        <v>93</v>
      </c>
      <c r="D54" s="74" t="s">
        <v>90</v>
      </c>
      <c r="E54" s="5"/>
      <c r="F54" s="67">
        <v>0.03</v>
      </c>
      <c r="G54" s="62"/>
      <c r="H54" s="67">
        <v>0.05</v>
      </c>
      <c r="I54" s="62"/>
      <c r="J54" s="67">
        <v>7.0000000000000007E-2</v>
      </c>
      <c r="K54" s="62"/>
      <c r="L54" s="65" t="e">
        <f>NA()</f>
        <v>#N/A</v>
      </c>
      <c r="M54" s="33" t="s">
        <v>91</v>
      </c>
      <c r="N54" s="4"/>
      <c r="O54" s="5"/>
      <c r="P54" s="5"/>
      <c r="Q54" s="5"/>
      <c r="R54" s="5"/>
      <c r="S54" s="34"/>
      <c r="T54" s="34"/>
    </row>
    <row r="55" spans="1:20">
      <c r="A55" s="33" t="s">
        <v>94</v>
      </c>
      <c r="B55" s="74"/>
      <c r="C55" s="74" t="s">
        <v>95</v>
      </c>
      <c r="D55" s="74" t="s">
        <v>96</v>
      </c>
      <c r="E55" s="5"/>
      <c r="F55" s="64">
        <v>210</v>
      </c>
      <c r="G55" s="59"/>
      <c r="H55" s="64">
        <v>220</v>
      </c>
      <c r="I55" s="59"/>
      <c r="J55" s="64">
        <v>230</v>
      </c>
      <c r="K55" s="59"/>
      <c r="L55" s="65" t="e">
        <f>NA()</f>
        <v>#N/A</v>
      </c>
      <c r="M55" s="33" t="s">
        <v>97</v>
      </c>
      <c r="N55" s="4"/>
      <c r="O55" s="5"/>
      <c r="P55" s="5"/>
      <c r="Q55" s="5"/>
      <c r="R55" s="5"/>
      <c r="S55" s="34"/>
      <c r="T55" s="34"/>
    </row>
    <row r="56" spans="1:20">
      <c r="A56" s="33" t="s">
        <v>98</v>
      </c>
      <c r="B56" s="74"/>
      <c r="C56" s="74" t="s">
        <v>99</v>
      </c>
      <c r="D56" s="74" t="s">
        <v>100</v>
      </c>
      <c r="E56" s="5"/>
      <c r="F56" s="64">
        <v>95</v>
      </c>
      <c r="G56" s="59"/>
      <c r="H56" s="64">
        <v>105</v>
      </c>
      <c r="I56" s="59"/>
      <c r="J56" s="64">
        <v>115</v>
      </c>
      <c r="K56" s="59"/>
      <c r="L56" s="65" t="e">
        <f>NA()</f>
        <v>#N/A</v>
      </c>
      <c r="M56" s="33" t="s">
        <v>101</v>
      </c>
      <c r="N56" s="4"/>
      <c r="O56" s="5"/>
      <c r="P56" s="5"/>
      <c r="Q56" s="5"/>
      <c r="R56" s="5"/>
      <c r="S56" s="34"/>
      <c r="T56" s="34"/>
    </row>
    <row r="57" spans="1:20">
      <c r="A57" s="33" t="s">
        <v>102</v>
      </c>
      <c r="B57" s="74"/>
      <c r="C57" s="74" t="s">
        <v>103</v>
      </c>
      <c r="D57" s="74" t="s">
        <v>104</v>
      </c>
      <c r="E57" s="5"/>
      <c r="F57" s="64">
        <v>-50</v>
      </c>
      <c r="G57" s="59"/>
      <c r="H57" s="64">
        <v>-50</v>
      </c>
      <c r="I57" s="59"/>
      <c r="J57" s="64">
        <v>-50</v>
      </c>
      <c r="K57" s="59"/>
      <c r="L57" s="65" t="e">
        <f>NA()</f>
        <v>#N/A</v>
      </c>
      <c r="M57" s="33" t="s">
        <v>105</v>
      </c>
      <c r="N57" s="4"/>
      <c r="O57" s="5"/>
      <c r="P57" s="5"/>
      <c r="Q57" s="5"/>
      <c r="R57" s="5"/>
      <c r="S57" s="34"/>
      <c r="T57" s="34"/>
    </row>
    <row r="58" spans="1:20">
      <c r="A58" s="33" t="s">
        <v>106</v>
      </c>
      <c r="B58" s="74"/>
      <c r="C58" s="74" t="s">
        <v>107</v>
      </c>
      <c r="D58" s="74" t="s">
        <v>108</v>
      </c>
      <c r="E58" s="5"/>
      <c r="F58" s="66">
        <v>2.6</v>
      </c>
      <c r="G58" s="61"/>
      <c r="H58" s="66">
        <v>2.5</v>
      </c>
      <c r="I58" s="61"/>
      <c r="J58" s="66">
        <v>2.7</v>
      </c>
      <c r="K58" s="61"/>
      <c r="L58" s="65" t="e">
        <f>NA()</f>
        <v>#N/A</v>
      </c>
      <c r="M58" s="33" t="s">
        <v>109</v>
      </c>
      <c r="N58" s="4"/>
      <c r="O58" s="5"/>
      <c r="P58" s="5"/>
      <c r="Q58" s="5"/>
      <c r="R58" s="5"/>
      <c r="S58" s="34"/>
      <c r="T58" s="34"/>
    </row>
    <row r="59" spans="1:20">
      <c r="A59" s="33" t="s">
        <v>110</v>
      </c>
      <c r="B59" s="74"/>
      <c r="C59" s="74" t="s">
        <v>111</v>
      </c>
      <c r="D59" s="74" t="s">
        <v>112</v>
      </c>
      <c r="E59" s="5"/>
      <c r="F59" s="64">
        <v>203</v>
      </c>
      <c r="G59" s="59"/>
      <c r="H59" s="64">
        <v>203</v>
      </c>
      <c r="I59" s="59"/>
      <c r="J59" s="64">
        <v>203</v>
      </c>
      <c r="K59" s="59"/>
      <c r="L59" s="65" t="e">
        <f>NA()</f>
        <v>#N/A</v>
      </c>
      <c r="M59" s="33" t="s">
        <v>113</v>
      </c>
      <c r="N59" s="4"/>
      <c r="O59" s="5"/>
      <c r="P59" s="5"/>
      <c r="Q59" s="5"/>
      <c r="R59" s="5"/>
      <c r="S59" s="34"/>
      <c r="T59" s="34"/>
    </row>
    <row r="60" spans="1:20" ht="14.25" thickTop="1" thickBot="1">
      <c r="A60" s="33"/>
      <c r="B60" s="36"/>
      <c r="C60" s="36"/>
      <c r="D60" s="36"/>
      <c r="E60" s="36"/>
      <c r="F60" s="22"/>
      <c r="G60" s="34"/>
      <c r="H60" s="23"/>
      <c r="I60" s="17"/>
      <c r="J60" s="21"/>
      <c r="K60" s="17"/>
      <c r="L60" s="21"/>
      <c r="M60" s="34"/>
      <c r="N60" s="31"/>
      <c r="O60" s="35"/>
      <c r="P60" s="17"/>
      <c r="Q60" s="35"/>
      <c r="R60" s="34"/>
      <c r="S60" s="34"/>
      <c r="T60" s="34"/>
    </row>
    <row r="61" spans="1:20" ht="19.5" thickTop="1" thickBot="1">
      <c r="A61" s="109" t="s">
        <v>114</v>
      </c>
      <c r="B61" s="110"/>
      <c r="C61" s="110"/>
      <c r="D61" s="110"/>
      <c r="E61" s="110" t="s">
        <v>75</v>
      </c>
      <c r="F61" s="110"/>
      <c r="G61" s="110" t="s">
        <v>76</v>
      </c>
      <c r="H61" s="110"/>
      <c r="I61" s="110" t="s">
        <v>77</v>
      </c>
      <c r="J61" s="110"/>
      <c r="K61" s="110" t="s">
        <v>78</v>
      </c>
      <c r="L61" s="110"/>
      <c r="M61" s="111"/>
      <c r="N61" s="112"/>
      <c r="O61" s="35"/>
      <c r="P61" s="17"/>
      <c r="Q61" s="35"/>
      <c r="R61" s="34"/>
      <c r="S61" s="34"/>
      <c r="T61" s="34"/>
    </row>
    <row r="62" spans="1:20" ht="13.5" thickTop="1">
      <c r="A62" s="32"/>
      <c r="B62" s="71"/>
      <c r="C62" s="71"/>
      <c r="D62" s="71"/>
      <c r="E62" s="70"/>
      <c r="F62" s="70"/>
      <c r="G62" s="70"/>
      <c r="H62" s="70"/>
      <c r="I62" s="71"/>
      <c r="J62" s="71"/>
      <c r="K62" s="72"/>
      <c r="L62" s="70"/>
      <c r="M62" s="35"/>
      <c r="N62" s="31"/>
      <c r="O62" s="34"/>
      <c r="P62" s="17"/>
      <c r="Q62" s="35"/>
      <c r="R62" s="34"/>
      <c r="S62" s="34"/>
      <c r="T62" s="34"/>
    </row>
    <row r="63" spans="1:20">
      <c r="A63" s="32" t="s">
        <v>115</v>
      </c>
      <c r="B63" s="74"/>
      <c r="C63" s="34"/>
      <c r="D63" s="74"/>
      <c r="E63" s="74"/>
      <c r="F63" s="71"/>
      <c r="G63" s="71"/>
      <c r="H63" s="74"/>
      <c r="I63" s="70"/>
      <c r="J63" s="70"/>
      <c r="K63" s="70"/>
      <c r="L63" s="70"/>
      <c r="M63" s="34"/>
      <c r="N63" s="31"/>
      <c r="O63" s="35"/>
      <c r="P63" s="17"/>
      <c r="Q63" s="35"/>
      <c r="R63" s="34"/>
      <c r="S63" s="34"/>
      <c r="T63" s="34"/>
    </row>
    <row r="64" spans="1:20">
      <c r="A64" s="32" t="s">
        <v>116</v>
      </c>
      <c r="B64" s="71"/>
      <c r="C64" s="71"/>
      <c r="D64" s="74"/>
      <c r="E64" s="5"/>
      <c r="F64" s="55">
        <f>(GR-GR_0)/(GR_100-GR_0)</f>
        <v>0.05</v>
      </c>
      <c r="G64" s="49"/>
      <c r="H64" s="55">
        <f>(H56-GR_0)/(GR_100-GR_0)</f>
        <v>0.15</v>
      </c>
      <c r="I64" s="49"/>
      <c r="J64" s="55">
        <f>(J56-GR_0)/(GR_100-GR_0)</f>
        <v>0.25</v>
      </c>
      <c r="K64" s="49"/>
      <c r="L64" s="55" t="e">
        <f>(L56-GR_0)/(GR_100-GR_0)</f>
        <v>#N/A</v>
      </c>
      <c r="M64" s="28" t="s">
        <v>91</v>
      </c>
      <c r="N64" s="31"/>
      <c r="O64" s="35"/>
      <c r="P64" s="17"/>
      <c r="Q64" s="35"/>
      <c r="R64" s="34"/>
      <c r="S64" s="34"/>
      <c r="T64" s="34"/>
    </row>
    <row r="65" spans="1:20">
      <c r="A65" s="32" t="s">
        <v>117</v>
      </c>
      <c r="B65" s="71"/>
      <c r="C65" s="71"/>
      <c r="D65" s="74"/>
      <c r="E65" s="5"/>
      <c r="F65" s="55"/>
      <c r="G65" s="49"/>
      <c r="H65" s="55"/>
      <c r="I65" s="49"/>
      <c r="J65" s="55"/>
      <c r="K65" s="49"/>
      <c r="L65" s="55"/>
      <c r="M65" s="28" t="s">
        <v>91</v>
      </c>
      <c r="N65" s="31"/>
      <c r="O65" s="35"/>
      <c r="P65" s="17"/>
      <c r="Q65" s="35"/>
      <c r="R65" s="34"/>
      <c r="S65" s="34"/>
      <c r="T65" s="34"/>
    </row>
    <row r="66" spans="1:20">
      <c r="A66" s="32" t="s">
        <v>118</v>
      </c>
      <c r="B66" s="71"/>
      <c r="C66" s="71"/>
      <c r="D66" s="74"/>
      <c r="E66" s="5"/>
      <c r="F66" s="55"/>
      <c r="G66" s="49"/>
      <c r="H66" s="55"/>
      <c r="I66" s="49"/>
      <c r="J66" s="55"/>
      <c r="K66" s="49"/>
      <c r="L66" s="55"/>
      <c r="M66" s="28" t="s">
        <v>91</v>
      </c>
      <c r="N66" s="31"/>
      <c r="O66" s="35"/>
      <c r="P66" s="17"/>
      <c r="Q66" s="35"/>
      <c r="R66" s="34"/>
      <c r="S66" s="34"/>
      <c r="T66" s="34"/>
    </row>
    <row r="67" spans="1:20">
      <c r="A67" s="32" t="s">
        <v>119</v>
      </c>
      <c r="B67" s="71"/>
      <c r="C67" s="71"/>
      <c r="D67" s="74"/>
      <c r="E67" s="5"/>
      <c r="F67" s="55">
        <f>MIN(VSHG,VSHS)</f>
        <v>0.05</v>
      </c>
      <c r="G67" s="49"/>
      <c r="H67" s="55">
        <f>MIN(H64,H65)</f>
        <v>0.15</v>
      </c>
      <c r="I67" s="49"/>
      <c r="J67" s="55">
        <f>MIN(J64,J65)</f>
        <v>0.25</v>
      </c>
      <c r="K67" s="49"/>
      <c r="L67" s="55" t="e">
        <f>MIN(L64,L65)</f>
        <v>#N/A</v>
      </c>
      <c r="M67" s="28" t="s">
        <v>91</v>
      </c>
      <c r="N67" s="31"/>
      <c r="O67" s="35"/>
      <c r="P67" s="17"/>
      <c r="Q67" s="35"/>
      <c r="R67" s="34"/>
      <c r="S67" s="34"/>
      <c r="T67" s="34"/>
    </row>
    <row r="68" spans="1:20">
      <c r="A68" s="32"/>
      <c r="B68" s="71"/>
      <c r="C68" s="71"/>
      <c r="D68" s="74"/>
      <c r="E68" s="5"/>
      <c r="F68" s="41"/>
      <c r="G68" s="74"/>
      <c r="H68" s="41"/>
      <c r="I68" s="74"/>
      <c r="J68" s="41"/>
      <c r="K68" s="74"/>
      <c r="L68" s="41"/>
      <c r="M68" s="74"/>
      <c r="N68" s="31"/>
      <c r="O68" s="74"/>
      <c r="P68" s="17"/>
      <c r="Q68" s="35"/>
      <c r="R68" s="34"/>
      <c r="S68" s="34"/>
      <c r="T68" s="34"/>
    </row>
    <row r="69" spans="1:20">
      <c r="A69" s="32" t="s">
        <v>120</v>
      </c>
      <c r="B69" s="71"/>
      <c r="C69" s="71"/>
      <c r="D69" s="74"/>
      <c r="E69" s="5"/>
      <c r="F69" s="74"/>
      <c r="G69" s="74"/>
      <c r="H69" s="74"/>
      <c r="I69" s="74"/>
      <c r="J69" s="74"/>
      <c r="K69" s="74"/>
      <c r="L69" s="74"/>
      <c r="M69" s="74"/>
      <c r="N69" s="31"/>
      <c r="O69" s="74"/>
      <c r="P69" s="17"/>
      <c r="Q69" s="35"/>
      <c r="R69" s="34"/>
      <c r="S69" s="34"/>
      <c r="T69" s="34"/>
    </row>
    <row r="70" spans="1:20">
      <c r="A70" s="32" t="s">
        <v>121</v>
      </c>
      <c r="B70" s="71"/>
      <c r="C70" s="71"/>
      <c r="D70" s="71"/>
      <c r="E70" s="5"/>
      <c r="F70" s="56">
        <v>0.03</v>
      </c>
      <c r="G70" s="49"/>
      <c r="H70" s="56">
        <v>0.04</v>
      </c>
      <c r="I70" s="50"/>
      <c r="J70" s="56">
        <v>0.05</v>
      </c>
      <c r="K70" s="50"/>
      <c r="L70" s="56" t="e">
        <f>NA()</f>
        <v>#N/A</v>
      </c>
      <c r="M70" s="28" t="s">
        <v>122</v>
      </c>
      <c r="N70" s="31"/>
      <c r="O70" s="35"/>
      <c r="P70" s="17"/>
      <c r="Q70" s="35"/>
      <c r="R70" s="34"/>
      <c r="S70" s="34"/>
      <c r="T70" s="34"/>
    </row>
    <row r="71" spans="1:20">
      <c r="A71" s="32"/>
      <c r="B71" s="71"/>
      <c r="C71" s="71"/>
      <c r="D71" s="74"/>
      <c r="E71" s="74"/>
      <c r="F71" s="41"/>
      <c r="G71" s="74"/>
      <c r="H71" s="41"/>
      <c r="I71" s="74"/>
      <c r="J71" s="41"/>
      <c r="K71" s="74"/>
      <c r="L71" s="41"/>
      <c r="M71" s="28"/>
      <c r="N71" s="31"/>
      <c r="O71" s="35"/>
      <c r="P71" s="17"/>
      <c r="Q71" s="35"/>
      <c r="R71" s="34"/>
      <c r="S71" s="34"/>
      <c r="T71" s="34"/>
    </row>
    <row r="72" spans="1:20">
      <c r="A72" s="32" t="s">
        <v>123</v>
      </c>
      <c r="B72" s="71"/>
      <c r="C72" s="71"/>
      <c r="D72" s="74"/>
      <c r="E72" s="74"/>
      <c r="F72" s="74"/>
      <c r="G72" s="74"/>
      <c r="H72" s="74"/>
      <c r="I72" s="74"/>
      <c r="J72" s="74"/>
      <c r="K72" s="74"/>
      <c r="L72" s="74"/>
      <c r="M72" s="28"/>
      <c r="N72" s="31"/>
      <c r="O72" s="35"/>
      <c r="P72" s="17"/>
      <c r="Q72" s="35"/>
      <c r="R72" s="34"/>
      <c r="S72" s="34"/>
      <c r="T72" s="34"/>
    </row>
    <row r="73" spans="1:20">
      <c r="A73" s="32" t="s">
        <v>124</v>
      </c>
      <c r="B73" s="71"/>
      <c r="C73" s="71"/>
      <c r="D73" s="74"/>
      <c r="E73" s="74" t="s">
        <v>125</v>
      </c>
      <c r="F73" s="55">
        <v>1.26</v>
      </c>
      <c r="G73" s="49" t="s">
        <v>126</v>
      </c>
      <c r="H73" s="55">
        <v>2.7</v>
      </c>
      <c r="I73" s="49" t="s">
        <v>127</v>
      </c>
      <c r="J73" s="55">
        <v>0.8</v>
      </c>
      <c r="K73" s="49"/>
      <c r="L73" s="74"/>
      <c r="M73" s="28"/>
      <c r="N73" s="31"/>
      <c r="O73" s="35"/>
      <c r="P73" s="17"/>
      <c r="Q73" s="35"/>
      <c r="R73" s="34"/>
      <c r="S73" s="34"/>
      <c r="T73" s="34"/>
    </row>
    <row r="74" spans="1:20">
      <c r="A74" s="32" t="s">
        <v>128</v>
      </c>
      <c r="B74" s="71"/>
      <c r="C74" s="71"/>
      <c r="D74" s="74"/>
      <c r="E74" s="24" t="s">
        <v>129</v>
      </c>
      <c r="F74" s="56">
        <f>F70/$J$73</f>
        <v>3.7499999999999999E-2</v>
      </c>
      <c r="G74" s="49"/>
      <c r="H74" s="56">
        <f>H70/$J$73</f>
        <v>4.9999999999999996E-2</v>
      </c>
      <c r="I74" s="49"/>
      <c r="J74" s="56">
        <f>J70/$J$73</f>
        <v>6.25E-2</v>
      </c>
      <c r="K74" s="49"/>
      <c r="L74" s="56" t="e">
        <f>L70/$J$73</f>
        <v>#N/A</v>
      </c>
      <c r="M74" s="28" t="s">
        <v>122</v>
      </c>
      <c r="N74" s="31"/>
      <c r="O74" s="35"/>
      <c r="P74" s="17"/>
      <c r="Q74" s="35"/>
      <c r="R74" s="34"/>
      <c r="S74" s="34"/>
      <c r="T74" s="34"/>
    </row>
    <row r="75" spans="1:20">
      <c r="A75" s="32" t="s">
        <v>130</v>
      </c>
      <c r="B75" s="71"/>
      <c r="C75" s="71"/>
      <c r="D75" s="74"/>
      <c r="E75" s="24" t="s">
        <v>131</v>
      </c>
      <c r="F75" s="56">
        <f>F74/$F$73</f>
        <v>2.976190476190476E-2</v>
      </c>
      <c r="G75" s="49"/>
      <c r="H75" s="56">
        <f>H74/$F$73</f>
        <v>3.968253968253968E-2</v>
      </c>
      <c r="I75" s="49"/>
      <c r="J75" s="56">
        <f>J74/$F$73</f>
        <v>4.96031746031746E-2</v>
      </c>
      <c r="K75" s="49"/>
      <c r="L75" s="56" t="e">
        <f>L74/$F$73</f>
        <v>#N/A</v>
      </c>
      <c r="M75" s="28" t="s">
        <v>132</v>
      </c>
      <c r="N75" s="31"/>
      <c r="O75" s="35"/>
      <c r="P75" s="17"/>
      <c r="Q75" s="35"/>
      <c r="R75" s="34"/>
      <c r="S75" s="34"/>
      <c r="T75" s="34"/>
    </row>
    <row r="76" spans="1:20">
      <c r="A76" s="32" t="s">
        <v>133</v>
      </c>
      <c r="B76" s="71"/>
      <c r="C76" s="71"/>
      <c r="D76" s="74"/>
      <c r="E76" s="24" t="s">
        <v>134</v>
      </c>
      <c r="F76" s="56">
        <f>(1-F74)/$H$73</f>
        <v>0.35648148148148145</v>
      </c>
      <c r="G76" s="49"/>
      <c r="H76" s="56">
        <f>(1-H74)/$H$73</f>
        <v>0.3518518518518518</v>
      </c>
      <c r="I76" s="49"/>
      <c r="J76" s="56">
        <f>(1-J74)/$H$73</f>
        <v>0.34722222222222221</v>
      </c>
      <c r="K76" s="49"/>
      <c r="L76" s="56" t="e">
        <f>(1-L74)/$H$73</f>
        <v>#N/A</v>
      </c>
      <c r="M76" s="28" t="s">
        <v>132</v>
      </c>
      <c r="N76" s="31"/>
      <c r="O76" s="35"/>
      <c r="P76" s="17"/>
      <c r="Q76" s="35"/>
      <c r="R76" s="34"/>
      <c r="S76" s="34"/>
      <c r="T76" s="34"/>
    </row>
    <row r="77" spans="1:20">
      <c r="A77" s="32" t="s">
        <v>135</v>
      </c>
      <c r="B77" s="71"/>
      <c r="C77" s="71"/>
      <c r="D77" s="74"/>
      <c r="E77" s="24" t="s">
        <v>136</v>
      </c>
      <c r="F77" s="56">
        <f>F75+F76</f>
        <v>0.38624338624338622</v>
      </c>
      <c r="G77" s="49"/>
      <c r="H77" s="56">
        <f>H75+H76</f>
        <v>0.39153439153439151</v>
      </c>
      <c r="I77" s="49"/>
      <c r="J77" s="56">
        <f>J75+J76</f>
        <v>0.3968253968253968</v>
      </c>
      <c r="K77" s="49"/>
      <c r="L77" s="56" t="e">
        <f>L75+L76</f>
        <v>#N/A</v>
      </c>
      <c r="M77" s="28" t="s">
        <v>132</v>
      </c>
      <c r="N77" s="31"/>
      <c r="O77" s="35"/>
      <c r="P77" s="17"/>
      <c r="Q77" s="35"/>
      <c r="R77" s="34"/>
      <c r="S77" s="34"/>
      <c r="T77" s="34"/>
    </row>
    <row r="78" spans="1:20">
      <c r="A78" s="32" t="s">
        <v>137</v>
      </c>
      <c r="B78" s="71"/>
      <c r="C78" s="71"/>
      <c r="D78" s="71"/>
      <c r="E78" s="24" t="s">
        <v>138</v>
      </c>
      <c r="F78" s="56">
        <f>F75/F77</f>
        <v>7.7054794520547948E-2</v>
      </c>
      <c r="G78" s="49"/>
      <c r="H78" s="56">
        <f>H75/H77</f>
        <v>0.10135135135135136</v>
      </c>
      <c r="I78" s="49"/>
      <c r="J78" s="56">
        <f>J75/J77</f>
        <v>0.125</v>
      </c>
      <c r="K78" s="49"/>
      <c r="L78" s="56" t="e">
        <f>L75/L77</f>
        <v>#N/A</v>
      </c>
      <c r="M78" s="28" t="s">
        <v>139</v>
      </c>
      <c r="N78" s="31"/>
      <c r="O78" s="35"/>
      <c r="P78" s="17"/>
      <c r="Q78" s="35"/>
      <c r="R78" s="34"/>
      <c r="S78" s="34"/>
      <c r="T78" s="34"/>
    </row>
    <row r="79" spans="1:20">
      <c r="A79" s="32"/>
      <c r="B79" s="71"/>
      <c r="C79" s="71"/>
      <c r="D79" s="74"/>
      <c r="E79" s="46"/>
      <c r="F79" s="38"/>
      <c r="G79" s="74"/>
      <c r="H79" s="41"/>
      <c r="I79" s="74"/>
      <c r="J79" s="41"/>
      <c r="K79" s="74"/>
      <c r="L79" s="41"/>
      <c r="M79" s="35"/>
      <c r="N79" s="31"/>
      <c r="O79" s="35"/>
      <c r="P79" s="17"/>
      <c r="Q79" s="35"/>
      <c r="R79" s="34"/>
      <c r="S79" s="34"/>
      <c r="T79" s="34"/>
    </row>
    <row r="80" spans="1:20">
      <c r="A80" s="32" t="s">
        <v>140</v>
      </c>
      <c r="B80" s="71"/>
      <c r="C80" s="71"/>
      <c r="D80" s="74"/>
      <c r="E80" s="46" t="s">
        <v>141</v>
      </c>
      <c r="F80" s="64">
        <v>656</v>
      </c>
      <c r="G80" s="37" t="s">
        <v>26</v>
      </c>
      <c r="H80" s="74" t="s">
        <v>142</v>
      </c>
      <c r="I80" s="69">
        <v>165</v>
      </c>
      <c r="J80" s="37" t="s">
        <v>26</v>
      </c>
      <c r="K80" s="74"/>
      <c r="L80" s="74"/>
      <c r="M80" s="35"/>
      <c r="N80" s="31"/>
      <c r="O80" s="35"/>
      <c r="P80" s="17"/>
      <c r="Q80" s="35"/>
      <c r="R80" s="34"/>
      <c r="S80" s="34"/>
      <c r="T80" s="34"/>
    </row>
    <row r="81" spans="1:20">
      <c r="A81" s="32"/>
      <c r="B81" s="71"/>
      <c r="C81" s="71"/>
      <c r="D81" s="74"/>
      <c r="E81" s="46" t="s">
        <v>143</v>
      </c>
      <c r="F81" s="64">
        <v>325</v>
      </c>
      <c r="G81" s="37" t="s">
        <v>26</v>
      </c>
      <c r="H81" s="74" t="s">
        <v>144</v>
      </c>
      <c r="I81" s="69">
        <v>0.65</v>
      </c>
      <c r="J81" s="37" t="s">
        <v>145</v>
      </c>
      <c r="K81" s="74"/>
      <c r="L81" s="74"/>
      <c r="M81" s="35"/>
      <c r="N81" s="31"/>
      <c r="O81" s="35"/>
      <c r="P81" s="17"/>
      <c r="Q81" s="35"/>
      <c r="R81" s="34"/>
      <c r="S81" s="34"/>
      <c r="T81" s="34"/>
    </row>
    <row r="82" spans="1:20">
      <c r="A82" s="4"/>
      <c r="B82" s="5"/>
      <c r="C82" s="5"/>
      <c r="D82" s="5"/>
      <c r="E82" s="5"/>
      <c r="F82" s="81"/>
      <c r="G82" s="71"/>
      <c r="H82" s="70"/>
      <c r="I82" s="42"/>
      <c r="J82" s="70"/>
      <c r="K82" s="70"/>
      <c r="L82" s="70"/>
      <c r="M82" s="34"/>
      <c r="N82" s="31"/>
      <c r="O82" s="35"/>
      <c r="P82" s="17"/>
      <c r="Q82" s="35"/>
      <c r="R82" s="34"/>
      <c r="S82" s="34"/>
      <c r="T82" s="34"/>
    </row>
    <row r="83" spans="1:20">
      <c r="A83" s="33" t="s">
        <v>146</v>
      </c>
      <c r="B83" s="36"/>
      <c r="C83" s="36"/>
      <c r="D83" s="36"/>
      <c r="E83" s="36" t="s">
        <v>147</v>
      </c>
      <c r="F83" s="56">
        <f>PHIN-(VSH*PHINSH)-(F78*$I81)</f>
        <v>0.16191438356164384</v>
      </c>
      <c r="G83" s="50"/>
      <c r="H83" s="56">
        <f>H53-(H67*PHINSH)-(H78*$I81)</f>
        <v>0.13012162162162161</v>
      </c>
      <c r="I83" s="50"/>
      <c r="J83" s="56">
        <f>J53-(J67*PHINSH)-(J78*$I81)</f>
        <v>9.8750000000000018E-2</v>
      </c>
      <c r="K83" s="50"/>
      <c r="L83" s="56" t="e">
        <f>L53-(L67*PHINSH)-(L78*$I81)</f>
        <v>#N/A</v>
      </c>
      <c r="M83" s="28" t="s">
        <v>91</v>
      </c>
      <c r="N83" s="31"/>
      <c r="O83" s="35"/>
      <c r="P83" s="17"/>
      <c r="Q83" s="35"/>
      <c r="R83" s="34"/>
      <c r="S83" s="34"/>
      <c r="T83" s="34"/>
    </row>
    <row r="84" spans="1:20">
      <c r="A84" s="33" t="s">
        <v>148</v>
      </c>
      <c r="B84" s="36"/>
      <c r="C84" s="36"/>
      <c r="D84" s="36"/>
      <c r="E84" s="36" t="s">
        <v>149</v>
      </c>
      <c r="F84" s="56">
        <f>PHID-(VSH*PHIDSH)-(F78*(2.65-$F$73)/1.65)</f>
        <v>-4.2412826899128279E-2</v>
      </c>
      <c r="G84" s="50"/>
      <c r="H84" s="56">
        <f>H54-(H67*H21)-(H78*(2.65-$F$73)/1.65)</f>
        <v>-3.538083538083539E-2</v>
      </c>
      <c r="I84" s="50"/>
      <c r="J84" s="56">
        <f>J54-(J67*J21)-(J78*(2.65-$F$73)/1.65)</f>
        <v>-3.5303030303030294E-2</v>
      </c>
      <c r="K84" s="50"/>
      <c r="L84" s="56" t="e">
        <f>L54-(L67*L21)-(L78*(2.65-$F$73)/1.65)</f>
        <v>#N/A</v>
      </c>
      <c r="M84" s="28" t="s">
        <v>91</v>
      </c>
      <c r="N84" s="31"/>
      <c r="O84" s="35"/>
      <c r="P84" s="17"/>
      <c r="Q84" s="35"/>
      <c r="R84" s="34"/>
      <c r="S84" s="34"/>
      <c r="T84" s="34"/>
    </row>
    <row r="85" spans="1:20">
      <c r="A85" s="33" t="s">
        <v>150</v>
      </c>
      <c r="B85" s="36"/>
      <c r="C85" s="36"/>
      <c r="D85" s="36"/>
      <c r="E85" s="36" t="s">
        <v>151</v>
      </c>
      <c r="F85" s="56">
        <f>(PHINC+PHIDC)/2</f>
        <v>5.9750778331257776E-2</v>
      </c>
      <c r="G85" s="50"/>
      <c r="H85" s="56">
        <f>(H83+H84)/2</f>
        <v>4.7370393120393109E-2</v>
      </c>
      <c r="I85" s="50"/>
      <c r="J85" s="56">
        <f>(J83+J84)/2</f>
        <v>3.1723484848484862E-2</v>
      </c>
      <c r="K85" s="50"/>
      <c r="L85" s="56" t="e">
        <f>(L83+L84)/2</f>
        <v>#N/A</v>
      </c>
      <c r="M85" s="28" t="s">
        <v>91</v>
      </c>
      <c r="N85" s="31"/>
      <c r="O85" s="35"/>
      <c r="P85" s="17"/>
      <c r="Q85" s="35"/>
      <c r="R85" s="34"/>
      <c r="S85" s="34"/>
      <c r="T85" s="34"/>
    </row>
    <row r="86" spans="1:20">
      <c r="A86" s="33" t="s">
        <v>152</v>
      </c>
      <c r="B86" s="36"/>
      <c r="C86" s="36"/>
      <c r="D86" s="36"/>
      <c r="E86" s="36" t="s">
        <v>153</v>
      </c>
      <c r="F86" s="56">
        <f>(DELT-(1-VSH)*DELTMA-VSH*DELTSH)/(DELTW-DELTMA)-F78*($F$81-DELTMA)/(DELTW-DELTMA)</f>
        <v>5.3811064922021035E-2</v>
      </c>
      <c r="G86" s="50"/>
      <c r="H86" s="56">
        <f>(H55-(1-H67)*DELTMA-H67*DELTSH)/(DELTW-DELTMA)-H78*($F$81-DELTMA)/(DELTW-DELTMA)</f>
        <v>4.0802003632960868E-2</v>
      </c>
      <c r="I86" s="50"/>
      <c r="J86" s="56">
        <f>(J55-(1-J67)*DELTMA-J67*DELTSH)/(DELTW-DELTMA)-J78*($F$81-DELTMA)/(DELTW-DELTMA)</f>
        <v>2.8004073319755594E-2</v>
      </c>
      <c r="K86" s="50"/>
      <c r="L86" s="56" t="e">
        <f>(L55-(1-L67)*DELTMA-L67*DELTSH)/(DELTW-DELTMA)-L78*($F$81-DELTMA)/(DELTW-DELTMA)</f>
        <v>#N/A</v>
      </c>
      <c r="M86" s="28" t="s">
        <v>91</v>
      </c>
      <c r="N86" s="31"/>
      <c r="O86" s="35"/>
      <c r="P86" s="17"/>
      <c r="Q86" s="35"/>
      <c r="R86" s="34"/>
      <c r="S86" s="34"/>
      <c r="T86" s="34"/>
    </row>
    <row r="87" spans="1:20">
      <c r="A87" s="33" t="s">
        <v>154</v>
      </c>
      <c r="B87" s="36"/>
      <c r="C87" s="36"/>
      <c r="D87" s="36"/>
      <c r="E87" s="36" t="s">
        <v>155</v>
      </c>
      <c r="F87" s="56">
        <f>PHIXDN</f>
        <v>5.9750778331257776E-2</v>
      </c>
      <c r="G87" s="50"/>
      <c r="H87" s="56">
        <f>H85</f>
        <v>4.7370393120393109E-2</v>
      </c>
      <c r="I87" s="50"/>
      <c r="J87" s="56">
        <f>J85</f>
        <v>3.1723484848484862E-2</v>
      </c>
      <c r="K87" s="50"/>
      <c r="L87" s="56" t="e">
        <f>L85</f>
        <v>#N/A</v>
      </c>
      <c r="M87" s="28" t="s">
        <v>91</v>
      </c>
      <c r="N87" s="31"/>
      <c r="O87" s="35"/>
      <c r="P87" s="17"/>
      <c r="Q87" s="35"/>
      <c r="R87" s="34"/>
      <c r="S87" s="34"/>
      <c r="T87" s="34"/>
    </row>
    <row r="88" spans="1:20">
      <c r="A88" s="33"/>
      <c r="B88" s="36"/>
      <c r="C88" s="36"/>
      <c r="D88" s="36"/>
      <c r="E88" s="36"/>
      <c r="F88" s="41"/>
      <c r="G88" s="71"/>
      <c r="H88" s="41"/>
      <c r="I88" s="70"/>
      <c r="J88" s="38"/>
      <c r="K88" s="70"/>
      <c r="L88" s="38"/>
      <c r="M88" s="28"/>
      <c r="N88" s="31"/>
      <c r="O88" s="35"/>
      <c r="P88" s="17"/>
      <c r="Q88" s="35"/>
      <c r="R88" s="34"/>
      <c r="S88" s="34"/>
      <c r="T88" s="34"/>
    </row>
    <row r="89" spans="1:20">
      <c r="A89" s="33" t="s">
        <v>156</v>
      </c>
      <c r="B89" s="36"/>
      <c r="C89" s="36"/>
      <c r="D89" s="36"/>
      <c r="E89" s="36"/>
      <c r="F89" s="74"/>
      <c r="G89" s="71"/>
      <c r="H89" s="74"/>
      <c r="I89" s="70"/>
      <c r="J89" s="70"/>
      <c r="K89" s="70"/>
      <c r="L89" s="70"/>
      <c r="M89" s="34"/>
      <c r="N89" s="31"/>
      <c r="O89" s="35"/>
      <c r="P89" s="17"/>
      <c r="Q89" s="35"/>
      <c r="R89" s="34"/>
      <c r="S89" s="34"/>
      <c r="T89" s="34"/>
    </row>
    <row r="90" spans="1:20">
      <c r="A90" s="33" t="s">
        <v>157</v>
      </c>
      <c r="B90" s="36"/>
      <c r="C90" s="36"/>
      <c r="D90" s="36"/>
      <c r="E90" s="36" t="s">
        <v>158</v>
      </c>
      <c r="F90" s="56">
        <f>(PHID+PHIN)/2</f>
        <v>0.13</v>
      </c>
      <c r="G90" s="48"/>
      <c r="H90" s="56">
        <f>(H54+H53)/2</f>
        <v>0.15</v>
      </c>
      <c r="I90" s="47"/>
      <c r="J90" s="56">
        <f>(J54+J53)/2</f>
        <v>0.17</v>
      </c>
      <c r="K90" s="47"/>
      <c r="L90" s="56" t="e">
        <f>(L54+L53)/2</f>
        <v>#N/A</v>
      </c>
      <c r="M90" s="28" t="s">
        <v>91</v>
      </c>
      <c r="N90" s="31"/>
      <c r="O90" s="35"/>
      <c r="P90" s="17"/>
      <c r="Q90" s="35"/>
      <c r="R90" s="34"/>
      <c r="S90" s="34"/>
      <c r="T90" s="34"/>
    </row>
    <row r="91" spans="1:20">
      <c r="A91" s="33" t="s">
        <v>159</v>
      </c>
      <c r="B91" s="36"/>
      <c r="C91" s="36"/>
      <c r="D91" s="36"/>
      <c r="E91" s="36" t="s">
        <v>160</v>
      </c>
      <c r="F91" s="56">
        <f>(PHIT^M)*RESD/A</f>
        <v>4.5901322384345518</v>
      </c>
      <c r="G91" s="48"/>
      <c r="H91" s="56">
        <f>(H90^M)*H52/A</f>
        <v>4.4860084604216608</v>
      </c>
      <c r="I91" s="47"/>
      <c r="J91" s="56">
        <f>(J90^M)*J52/A</f>
        <v>3.7699058527929199</v>
      </c>
      <c r="K91" s="47"/>
      <c r="L91" s="56" t="e">
        <f>(L90^M)*L52/A</f>
        <v>#N/A</v>
      </c>
      <c r="M91" s="27" t="s">
        <v>87</v>
      </c>
      <c r="N91" s="31"/>
      <c r="O91" s="35"/>
      <c r="P91" s="17"/>
      <c r="Q91" s="35"/>
      <c r="R91" s="34"/>
      <c r="S91" s="34"/>
      <c r="T91" s="34"/>
    </row>
    <row r="92" spans="1:20">
      <c r="A92" s="33" t="s">
        <v>161</v>
      </c>
      <c r="B92" s="36"/>
      <c r="C92" s="36"/>
      <c r="D92" s="36"/>
      <c r="E92" s="36" t="s">
        <v>162</v>
      </c>
      <c r="F92" s="56">
        <f>(RW/RWA)^(1/N)</f>
        <v>5.9163902951349115E-2</v>
      </c>
      <c r="G92" s="48"/>
      <c r="H92" s="56">
        <f>(RW/H91)^(1/N)</f>
        <v>5.9902281194758183E-2</v>
      </c>
      <c r="I92" s="47"/>
      <c r="J92" s="56">
        <f>(RW/J91)^(1/N)</f>
        <v>6.5806707678228049E-2</v>
      </c>
      <c r="K92" s="47"/>
      <c r="L92" s="56" t="e">
        <f>(RW/L91)^(1/N)</f>
        <v>#N/A</v>
      </c>
      <c r="M92" s="28" t="s">
        <v>91</v>
      </c>
      <c r="N92" s="31"/>
      <c r="O92" s="35"/>
      <c r="P92" s="17"/>
      <c r="Q92" s="35"/>
      <c r="R92" s="34"/>
      <c r="S92" s="34"/>
      <c r="T92" s="34"/>
    </row>
    <row r="93" spans="1:20">
      <c r="A93" s="33"/>
      <c r="B93" s="36"/>
      <c r="C93" s="36"/>
      <c r="D93" s="36"/>
      <c r="E93" s="36"/>
      <c r="F93" s="40"/>
      <c r="G93" s="71"/>
      <c r="H93" s="40"/>
      <c r="I93" s="70"/>
      <c r="J93" s="40"/>
      <c r="K93" s="70"/>
      <c r="L93" s="40"/>
      <c r="M93" s="34"/>
      <c r="N93" s="31"/>
      <c r="O93" s="35"/>
      <c r="P93" s="17"/>
      <c r="Q93" s="35"/>
      <c r="R93" s="34"/>
      <c r="S93" s="34"/>
      <c r="T93" s="34"/>
    </row>
    <row r="94" spans="1:20">
      <c r="A94" s="33" t="s">
        <v>163</v>
      </c>
      <c r="B94" s="36"/>
      <c r="C94" s="36"/>
      <c r="D94" s="36"/>
      <c r="E94" s="36"/>
      <c r="F94" s="73"/>
      <c r="G94" s="71"/>
      <c r="H94" s="73"/>
      <c r="I94" s="70"/>
      <c r="J94" s="73"/>
      <c r="K94" s="70"/>
      <c r="L94" s="73"/>
      <c r="M94" s="34"/>
      <c r="N94" s="31"/>
      <c r="O94" s="35"/>
      <c r="P94" s="17"/>
      <c r="Q94" s="35"/>
      <c r="R94" s="34"/>
      <c r="S94" s="34"/>
      <c r="T94" s="34"/>
    </row>
    <row r="95" spans="1:20">
      <c r="A95" s="33" t="s">
        <v>164</v>
      </c>
      <c r="B95" s="36"/>
      <c r="C95" s="36"/>
      <c r="D95" s="36"/>
      <c r="E95" s="36"/>
      <c r="F95" s="56">
        <f>(1-VSH)*A*RW/(PHIE^M)</f>
        <v>4.2817204934093933</v>
      </c>
      <c r="G95" s="48"/>
      <c r="H95" s="56">
        <f>(1-H67)*A*RW/(H87^M)</f>
        <v>5.8865563171674538</v>
      </c>
      <c r="I95" s="47"/>
      <c r="J95" s="56">
        <f>(1-J67)*A*RW/(J87^M)</f>
        <v>10.905282642564549</v>
      </c>
      <c r="K95" s="47"/>
      <c r="L95" s="56" t="e">
        <f>(1-L67)*A*RW/(L87^M)</f>
        <v>#N/A</v>
      </c>
      <c r="M95" s="28" t="s">
        <v>91</v>
      </c>
      <c r="N95" s="31"/>
      <c r="O95" s="35"/>
      <c r="P95" s="17"/>
      <c r="Q95" s="35"/>
      <c r="R95" s="34"/>
      <c r="S95" s="34"/>
      <c r="T95" s="34"/>
    </row>
    <row r="96" spans="1:20">
      <c r="A96" s="33" t="s">
        <v>165</v>
      </c>
      <c r="B96" s="36"/>
      <c r="C96" s="36"/>
      <c r="D96" s="36"/>
      <c r="E96" s="36" t="s">
        <v>166</v>
      </c>
      <c r="F96" s="56">
        <f>_C*VSH/(2*RSH)</f>
        <v>3.5681004111744942E-2</v>
      </c>
      <c r="G96" s="48"/>
      <c r="H96" s="56">
        <f>H95*H67/(2*RSH)</f>
        <v>0.14716390792918635</v>
      </c>
      <c r="I96" s="47"/>
      <c r="J96" s="56">
        <f>J95*J67/(2*RSH)</f>
        <v>0.45438677677352285</v>
      </c>
      <c r="K96" s="47"/>
      <c r="L96" s="56" t="e">
        <f>L95*L67/(2*RSH)</f>
        <v>#N/A</v>
      </c>
      <c r="M96" s="28" t="s">
        <v>91</v>
      </c>
      <c r="N96" s="31"/>
      <c r="O96" s="35"/>
      <c r="P96" s="17"/>
      <c r="Q96" s="35"/>
      <c r="R96" s="34"/>
      <c r="S96" s="34"/>
      <c r="T96" s="34"/>
    </row>
    <row r="97" spans="1:20">
      <c r="A97" s="33" t="s">
        <v>167</v>
      </c>
      <c r="B97" s="36"/>
      <c r="C97" s="36"/>
      <c r="D97" s="36"/>
      <c r="E97" s="36" t="s">
        <v>168</v>
      </c>
      <c r="F97" s="56">
        <f>_C/RESD</f>
        <v>2.1408602467046966E-2</v>
      </c>
      <c r="G97" s="48"/>
      <c r="H97" s="56">
        <f>H95/H52</f>
        <v>3.9243708781116361E-2</v>
      </c>
      <c r="I97" s="47"/>
      <c r="J97" s="56">
        <f>J95/J52</f>
        <v>0.10905282642564548</v>
      </c>
      <c r="K97" s="47"/>
      <c r="L97" s="56" t="e">
        <f>L95/L52</f>
        <v>#N/A</v>
      </c>
      <c r="M97" s="28" t="s">
        <v>91</v>
      </c>
      <c r="N97" s="31"/>
      <c r="O97" s="35"/>
      <c r="P97" s="17"/>
      <c r="Q97" s="35"/>
      <c r="R97" s="34"/>
      <c r="S97" s="34"/>
      <c r="T97" s="34"/>
    </row>
    <row r="98" spans="1:20">
      <c r="A98" s="33" t="s">
        <v>169</v>
      </c>
      <c r="B98" s="36"/>
      <c r="C98" s="36"/>
      <c r="D98" s="36"/>
      <c r="E98" s="36" t="s">
        <v>170</v>
      </c>
      <c r="F98" s="56">
        <f>((D^2+E)^0.5-D)^(2/N)</f>
        <v>9.6433081921979844E-2</v>
      </c>
      <c r="G98" s="48"/>
      <c r="H98" s="56">
        <f>((H96^2+H97)^0.5-H96)^(2/N)</f>
        <v>8.2626296001137453E-2</v>
      </c>
      <c r="I98" s="47"/>
      <c r="J98" s="56">
        <f>((J96^2+J97)^0.5-J96)^(2/N)</f>
        <v>8.9559006965455185E-2</v>
      </c>
      <c r="K98" s="47"/>
      <c r="L98" s="56" t="e">
        <f>((L96^2+L97)^0.5-L96)^(2/N)</f>
        <v>#N/A</v>
      </c>
      <c r="M98" s="28" t="s">
        <v>91</v>
      </c>
      <c r="N98" s="31"/>
      <c r="O98" s="35"/>
      <c r="P98" s="17"/>
      <c r="Q98" s="35"/>
      <c r="R98" s="34"/>
      <c r="S98" s="34"/>
      <c r="T98" s="34"/>
    </row>
    <row r="99" spans="1:20">
      <c r="A99" s="33" t="s">
        <v>171</v>
      </c>
      <c r="B99" s="36"/>
      <c r="C99" s="36"/>
      <c r="D99" s="36"/>
      <c r="E99" s="36" t="s">
        <v>172</v>
      </c>
      <c r="F99" s="56">
        <f>SWS</f>
        <v>9.6433081921979844E-2</v>
      </c>
      <c r="G99" s="48"/>
      <c r="H99" s="56">
        <f>H98</f>
        <v>8.2626296001137453E-2</v>
      </c>
      <c r="I99" s="47"/>
      <c r="J99" s="56">
        <f>J98</f>
        <v>8.9559006965455185E-2</v>
      </c>
      <c r="K99" s="47"/>
      <c r="L99" s="56" t="e">
        <f>L98</f>
        <v>#N/A</v>
      </c>
      <c r="M99" s="28" t="s">
        <v>91</v>
      </c>
      <c r="N99" s="31"/>
      <c r="O99" s="35"/>
      <c r="P99" s="17"/>
      <c r="Q99" s="35"/>
      <c r="R99" s="34"/>
      <c r="S99" s="34"/>
      <c r="T99" s="34"/>
    </row>
    <row r="100" spans="1:20">
      <c r="A100" s="33"/>
      <c r="B100" s="36"/>
      <c r="C100" s="36"/>
      <c r="D100" s="36"/>
      <c r="E100" s="36"/>
      <c r="F100" s="20"/>
      <c r="G100" s="34"/>
      <c r="H100" s="20"/>
      <c r="I100" s="17"/>
      <c r="J100" s="18"/>
      <c r="K100" s="17"/>
      <c r="L100" s="18"/>
      <c r="M100" s="34"/>
      <c r="N100" s="31"/>
      <c r="O100" s="35"/>
      <c r="P100" s="17"/>
      <c r="Q100" s="35"/>
      <c r="R100" s="34"/>
      <c r="S100" s="34"/>
      <c r="T100" s="34"/>
    </row>
    <row r="101" spans="1:20">
      <c r="A101" s="33" t="s">
        <v>173</v>
      </c>
      <c r="B101" s="36"/>
      <c r="C101" s="36"/>
      <c r="D101" s="36"/>
      <c r="E101" s="36"/>
      <c r="F101" s="36"/>
      <c r="G101" s="34"/>
      <c r="H101" s="36"/>
      <c r="I101" s="17"/>
      <c r="J101" s="17"/>
      <c r="K101" s="17"/>
      <c r="L101" s="17"/>
      <c r="M101" s="34"/>
      <c r="N101" s="31"/>
      <c r="O101" s="35"/>
      <c r="P101" s="17"/>
      <c r="Q101" s="35"/>
      <c r="R101" s="34"/>
      <c r="S101" s="34"/>
      <c r="T101" s="34"/>
    </row>
    <row r="102" spans="1:20">
      <c r="A102" s="33" t="s">
        <v>174</v>
      </c>
      <c r="B102" s="36"/>
      <c r="C102" s="36"/>
      <c r="D102" s="36"/>
      <c r="E102" s="36"/>
      <c r="F102" s="34" t="s">
        <v>175</v>
      </c>
      <c r="G102" s="34"/>
      <c r="H102" s="57">
        <f>H87*H99</f>
        <v>3.9140401236558466E-3</v>
      </c>
      <c r="I102" s="26" t="s">
        <v>176</v>
      </c>
      <c r="J102" s="17"/>
      <c r="K102" s="17"/>
      <c r="L102" s="17"/>
      <c r="M102" s="34"/>
      <c r="N102" s="31"/>
      <c r="O102" s="35"/>
      <c r="P102" s="17"/>
      <c r="Q102" s="35"/>
      <c r="R102" s="34"/>
      <c r="S102" s="34"/>
      <c r="T102" s="34"/>
    </row>
    <row r="103" spans="1:20">
      <c r="A103" s="33" t="s">
        <v>177</v>
      </c>
      <c r="B103" s="36"/>
      <c r="C103" s="36"/>
      <c r="D103" s="36"/>
      <c r="E103" s="36" t="s">
        <v>178</v>
      </c>
      <c r="F103" s="56">
        <f>MIN(SW,KBUCKL/PHIE)</f>
        <v>6.5506094363431439E-2</v>
      </c>
      <c r="G103" s="48"/>
      <c r="H103" s="56">
        <f>MIN(H99,KBUCKL/H87)</f>
        <v>8.2626296001137453E-2</v>
      </c>
      <c r="I103" s="47"/>
      <c r="J103" s="56">
        <f>MIN(J99,KBUCKL/J87)</f>
        <v>8.9559006965455185E-2</v>
      </c>
      <c r="K103" s="47"/>
      <c r="L103" s="56" t="e">
        <f>MIN(L99,KBUCKL/L87)</f>
        <v>#N/A</v>
      </c>
      <c r="M103" s="28" t="s">
        <v>91</v>
      </c>
      <c r="N103" s="31"/>
      <c r="O103" s="35"/>
      <c r="P103" s="17"/>
      <c r="Q103" s="35"/>
      <c r="R103" s="34"/>
      <c r="S103" s="34"/>
      <c r="T103" s="34"/>
    </row>
    <row r="104" spans="1:20">
      <c r="A104" s="33"/>
      <c r="B104" s="36"/>
      <c r="C104" s="36"/>
      <c r="D104" s="36"/>
      <c r="E104" s="36"/>
      <c r="F104" s="19"/>
      <c r="G104" s="34"/>
      <c r="H104" s="20"/>
      <c r="I104" s="17"/>
      <c r="J104" s="18"/>
      <c r="K104" s="17"/>
      <c r="L104" s="18"/>
      <c r="M104" s="34"/>
      <c r="N104" s="31"/>
      <c r="O104" s="35"/>
      <c r="P104" s="17"/>
      <c r="Q104" s="35"/>
      <c r="R104" s="34"/>
      <c r="S104" s="34"/>
      <c r="T104" s="34"/>
    </row>
    <row r="105" spans="1:20">
      <c r="A105" s="33" t="s">
        <v>179</v>
      </c>
      <c r="B105" s="36"/>
      <c r="C105" s="36"/>
      <c r="D105" s="36" t="s">
        <v>180</v>
      </c>
      <c r="E105" s="36"/>
      <c r="F105" s="69">
        <v>100000</v>
      </c>
      <c r="G105" s="33"/>
      <c r="H105" s="34" t="s">
        <v>181</v>
      </c>
      <c r="I105" s="65">
        <v>6</v>
      </c>
      <c r="J105" s="4"/>
      <c r="K105" s="34" t="s">
        <v>182</v>
      </c>
      <c r="L105" s="65">
        <v>2</v>
      </c>
      <c r="M105" s="31"/>
      <c r="N105" s="31"/>
      <c r="O105" s="35"/>
      <c r="P105" s="17"/>
      <c r="Q105" s="35"/>
      <c r="R105" s="34"/>
      <c r="S105" s="34"/>
      <c r="T105" s="34"/>
    </row>
    <row r="106" spans="1:20">
      <c r="A106" s="33" t="s">
        <v>183</v>
      </c>
      <c r="B106" s="36"/>
      <c r="C106" s="36"/>
      <c r="D106" s="36"/>
      <c r="E106" s="36"/>
      <c r="F106" s="22"/>
      <c r="G106" s="34"/>
      <c r="H106" s="36"/>
      <c r="I106" s="21"/>
      <c r="J106" s="17"/>
      <c r="K106" s="17"/>
      <c r="L106" s="21"/>
      <c r="M106" s="34"/>
      <c r="N106" s="31"/>
      <c r="O106" s="35"/>
      <c r="P106" s="17"/>
      <c r="Q106" s="35"/>
      <c r="R106" s="34"/>
      <c r="S106" s="34"/>
      <c r="T106" s="34"/>
    </row>
    <row r="107" spans="1:20">
      <c r="A107" s="33"/>
      <c r="B107" s="36"/>
      <c r="C107" s="36"/>
      <c r="D107" s="36"/>
      <c r="E107" s="36" t="s">
        <v>184</v>
      </c>
      <c r="F107" s="57">
        <f>CPERM*(PHIE^DPERM)/(SWIR^EPERM)</f>
        <v>1.060469026543666</v>
      </c>
      <c r="G107" s="51"/>
      <c r="H107" s="57">
        <f>CPERM*(H87^DPERM)/(H103^EPERM)</f>
        <v>0.16550280714019314</v>
      </c>
      <c r="I107" s="51"/>
      <c r="J107" s="57">
        <f>CPERM*(J87^DPERM)/(J103^EPERM)</f>
        <v>1.2707695334558409E-2</v>
      </c>
      <c r="K107" s="51"/>
      <c r="L107" s="57" t="e">
        <f>CPERM*(L87^DPERM)/(L103^EPERM)</f>
        <v>#N/A</v>
      </c>
      <c r="M107" s="27" t="s">
        <v>185</v>
      </c>
      <c r="N107" s="31"/>
      <c r="O107" s="35"/>
      <c r="P107" s="17"/>
      <c r="Q107" s="35"/>
      <c r="R107" s="34"/>
      <c r="S107" s="34"/>
      <c r="T107" s="34"/>
    </row>
    <row r="108" spans="1:20">
      <c r="A108" s="33"/>
      <c r="B108" s="36"/>
      <c r="C108" s="36"/>
      <c r="D108" s="36"/>
      <c r="E108" s="36"/>
      <c r="F108" s="18"/>
      <c r="G108" s="34"/>
      <c r="H108" s="20"/>
      <c r="I108" s="17"/>
      <c r="J108" s="18"/>
      <c r="K108" s="17"/>
      <c r="L108" s="18"/>
      <c r="M108" s="34"/>
      <c r="N108" s="31"/>
      <c r="O108" s="35"/>
      <c r="P108" s="17"/>
      <c r="Q108" s="35"/>
      <c r="R108" s="34"/>
      <c r="S108" s="34"/>
      <c r="T108" s="34"/>
    </row>
    <row r="109" spans="1:20">
      <c r="A109" s="33" t="s">
        <v>186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4"/>
      <c r="N109" s="31"/>
      <c r="O109" s="35"/>
      <c r="P109" s="17"/>
      <c r="Q109" s="35"/>
      <c r="R109" s="34"/>
      <c r="S109" s="34"/>
      <c r="T109" s="34"/>
    </row>
    <row r="110" spans="1:20">
      <c r="A110" s="33" t="s">
        <v>187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4"/>
      <c r="N110" s="31"/>
      <c r="O110" s="35"/>
      <c r="P110" s="17"/>
      <c r="Q110" s="35"/>
      <c r="R110" s="34"/>
      <c r="S110" s="34"/>
      <c r="T110" s="34"/>
    </row>
    <row r="111" spans="1:20">
      <c r="A111" s="33" t="s">
        <v>188</v>
      </c>
      <c r="B111" s="36"/>
      <c r="C111" s="36"/>
      <c r="D111" s="36"/>
      <c r="E111" s="36"/>
      <c r="F111" s="54">
        <f>BASE-TOP</f>
        <v>50</v>
      </c>
      <c r="G111" s="48"/>
      <c r="H111" s="54">
        <f>H51-H50</f>
        <v>50</v>
      </c>
      <c r="I111" s="48"/>
      <c r="J111" s="54">
        <f>J51-J50</f>
        <v>50</v>
      </c>
      <c r="K111" s="48"/>
      <c r="L111" s="54" t="e">
        <f>L51-L50</f>
        <v>#N/A</v>
      </c>
      <c r="M111" s="27" t="s">
        <v>81</v>
      </c>
      <c r="N111" s="31"/>
      <c r="O111" s="35"/>
      <c r="P111" s="17"/>
      <c r="Q111" s="35"/>
      <c r="R111" s="34"/>
      <c r="S111" s="34"/>
      <c r="T111" s="34"/>
    </row>
    <row r="112" spans="1:20">
      <c r="A112" s="33" t="s">
        <v>189</v>
      </c>
      <c r="B112" s="36"/>
      <c r="C112" s="36"/>
      <c r="D112" s="36"/>
      <c r="E112" s="36"/>
      <c r="F112" s="55">
        <f>PHIE*THICK</f>
        <v>2.9875389165628889</v>
      </c>
      <c r="G112" s="48"/>
      <c r="H112" s="55">
        <f>H87*H111</f>
        <v>2.3685196560196555</v>
      </c>
      <c r="I112" s="47"/>
      <c r="J112" s="55">
        <f>J87*J111</f>
        <v>1.5861742424242431</v>
      </c>
      <c r="K112" s="47"/>
      <c r="L112" s="55" t="e">
        <f>L87*L111</f>
        <v>#N/A</v>
      </c>
      <c r="M112" s="27" t="s">
        <v>81</v>
      </c>
      <c r="N112" s="31"/>
      <c r="O112" s="35"/>
      <c r="P112" s="17"/>
      <c r="Q112" s="35"/>
      <c r="R112" s="34"/>
      <c r="S112" s="34"/>
      <c r="T112" s="34"/>
    </row>
    <row r="113" spans="1:20">
      <c r="A113" s="33" t="s">
        <v>190</v>
      </c>
      <c r="B113" s="36"/>
      <c r="C113" s="36"/>
      <c r="D113" s="36"/>
      <c r="E113" s="36"/>
      <c r="F113" s="55">
        <f>PHIE*(1-SW)*THICK</f>
        <v>2.6994413314768768</v>
      </c>
      <c r="G113" s="48"/>
      <c r="H113" s="55">
        <f>H87*(1-H99)*H111</f>
        <v>2.1728176498368628</v>
      </c>
      <c r="I113" s="47"/>
      <c r="J113" s="55">
        <f>J87*(1-J99)*J111</f>
        <v>1.4441180523985446</v>
      </c>
      <c r="K113" s="47"/>
      <c r="L113" s="55" t="e">
        <f>L87*(1-L99)*L111</f>
        <v>#N/A</v>
      </c>
      <c r="M113" s="27" t="s">
        <v>81</v>
      </c>
      <c r="N113" s="31"/>
      <c r="O113" s="35"/>
      <c r="P113" s="17"/>
      <c r="Q113" s="35"/>
      <c r="R113" s="34"/>
      <c r="S113" s="34"/>
      <c r="T113" s="34"/>
    </row>
    <row r="114" spans="1:20">
      <c r="A114" s="33" t="s">
        <v>191</v>
      </c>
      <c r="B114" s="36"/>
      <c r="C114" s="36"/>
      <c r="D114" s="36"/>
      <c r="E114" s="36"/>
      <c r="F114" s="54">
        <f>PERM*THICK</f>
        <v>53.023451327183302</v>
      </c>
      <c r="G114" s="48"/>
      <c r="H114" s="54">
        <f>H107*H111</f>
        <v>8.275140357009656</v>
      </c>
      <c r="I114" s="47"/>
      <c r="J114" s="54">
        <f>J107*J111</f>
        <v>0.63538476672792044</v>
      </c>
      <c r="K114" s="52"/>
      <c r="L114" s="54" t="e">
        <f>L107*L111</f>
        <v>#N/A</v>
      </c>
      <c r="M114" s="27" t="s">
        <v>192</v>
      </c>
      <c r="N114" s="33"/>
      <c r="O114" s="36"/>
      <c r="P114" s="36"/>
      <c r="Q114" s="36"/>
      <c r="R114" s="36"/>
      <c r="S114" s="36"/>
      <c r="T114" s="36"/>
    </row>
    <row r="115" spans="1:20">
      <c r="A115" s="33" t="s">
        <v>193</v>
      </c>
      <c r="B115" s="36"/>
      <c r="C115" s="36"/>
      <c r="D115" s="36"/>
      <c r="E115" s="36"/>
      <c r="F115" s="54">
        <f>THICK</f>
        <v>50</v>
      </c>
      <c r="G115" s="48"/>
      <c r="H115" s="54">
        <f>H111</f>
        <v>50</v>
      </c>
      <c r="I115" s="48"/>
      <c r="J115" s="54">
        <f>J111</f>
        <v>50</v>
      </c>
      <c r="K115" s="48"/>
      <c r="L115" s="54" t="e">
        <f>L111</f>
        <v>#N/A</v>
      </c>
      <c r="M115" s="27" t="s">
        <v>81</v>
      </c>
      <c r="N115" s="33"/>
      <c r="O115" s="36"/>
      <c r="P115" s="36"/>
      <c r="Q115" s="36"/>
      <c r="R115" s="36"/>
      <c r="S115" s="36"/>
      <c r="T115" s="36"/>
    </row>
    <row r="116" spans="1:20" ht="14.25" thickTop="1" thickBot="1">
      <c r="A116" s="33"/>
      <c r="B116" s="36"/>
      <c r="C116" s="36"/>
      <c r="D116" s="36"/>
      <c r="E116" s="36"/>
      <c r="F116" s="19"/>
      <c r="G116" s="34"/>
      <c r="H116" s="20"/>
      <c r="I116" s="17"/>
      <c r="J116" s="20"/>
      <c r="K116" s="36"/>
      <c r="L116" s="20"/>
      <c r="M116" s="36"/>
      <c r="N116" s="33"/>
      <c r="O116" s="36"/>
      <c r="P116" s="36"/>
      <c r="Q116" s="36"/>
      <c r="R116" s="36"/>
      <c r="S116" s="36"/>
      <c r="T116" s="36"/>
    </row>
    <row r="117" spans="1:20" ht="19.5" thickTop="1" thickBot="1">
      <c r="A117" s="109" t="s">
        <v>194</v>
      </c>
      <c r="B117" s="110"/>
      <c r="C117" s="110"/>
      <c r="D117" s="110"/>
      <c r="E117" s="110"/>
      <c r="F117" s="110"/>
      <c r="G117" s="113"/>
      <c r="H117" s="113"/>
      <c r="I117" s="110"/>
      <c r="J117" s="114"/>
      <c r="K117" s="114"/>
      <c r="L117" s="114"/>
      <c r="M117" s="115"/>
      <c r="N117" s="86"/>
      <c r="O117" s="36"/>
      <c r="P117" s="36"/>
      <c r="Q117" s="36"/>
      <c r="R117" s="36"/>
      <c r="S117" s="36"/>
      <c r="T117" s="36"/>
    </row>
    <row r="118" spans="1:20" ht="18.75" thickTop="1">
      <c r="A118" s="116" t="s">
        <v>286</v>
      </c>
      <c r="B118" s="16"/>
      <c r="C118" s="16"/>
      <c r="D118" s="16"/>
      <c r="E118" s="16" t="s">
        <v>75</v>
      </c>
      <c r="F118" s="16"/>
      <c r="G118" s="16" t="s">
        <v>76</v>
      </c>
      <c r="H118" s="16"/>
      <c r="I118" s="16" t="s">
        <v>77</v>
      </c>
      <c r="J118" s="16"/>
      <c r="K118" s="16" t="s">
        <v>78</v>
      </c>
      <c r="L118" s="16"/>
      <c r="M118" s="16"/>
      <c r="N118" s="33"/>
      <c r="O118" s="36"/>
      <c r="P118" s="36"/>
      <c r="Q118" s="36"/>
      <c r="R118" s="36"/>
      <c r="S118" s="36"/>
      <c r="T118" s="36"/>
    </row>
    <row r="119" spans="1:20">
      <c r="A119" s="33"/>
      <c r="B119" s="36"/>
      <c r="C119" s="36"/>
      <c r="D119" s="36"/>
      <c r="E119" s="36"/>
      <c r="F119" s="34"/>
      <c r="G119" s="34"/>
      <c r="H119" s="36"/>
      <c r="I119" s="17"/>
      <c r="J119" s="36"/>
      <c r="K119" s="36"/>
      <c r="L119" s="36"/>
      <c r="M119" s="36"/>
      <c r="N119" s="33"/>
      <c r="O119" s="36"/>
      <c r="P119" s="36"/>
      <c r="Q119" s="36"/>
      <c r="R119" s="36"/>
      <c r="S119" s="36"/>
      <c r="T119" s="36"/>
    </row>
    <row r="120" spans="1:20">
      <c r="A120" s="33" t="s">
        <v>195</v>
      </c>
      <c r="B120" s="36"/>
      <c r="C120" s="36"/>
      <c r="D120" s="36" t="s">
        <v>196</v>
      </c>
      <c r="E120" s="69">
        <v>1.25</v>
      </c>
      <c r="F120" s="31" t="s">
        <v>197</v>
      </c>
      <c r="G120" s="66">
        <v>0.15</v>
      </c>
      <c r="H120" s="33" t="s">
        <v>198</v>
      </c>
      <c r="I120" s="64">
        <f>640000*4</f>
        <v>2560000</v>
      </c>
      <c r="J120" s="30" t="s">
        <v>199</v>
      </c>
      <c r="K120" s="77">
        <v>1</v>
      </c>
      <c r="L120" s="33"/>
      <c r="M120" s="36"/>
      <c r="N120" s="33"/>
      <c r="O120" s="36"/>
      <c r="P120" s="36"/>
      <c r="Q120" s="36"/>
      <c r="R120" s="36"/>
      <c r="S120" s="36"/>
      <c r="T120" s="36"/>
    </row>
    <row r="121" spans="1:20">
      <c r="A121" s="33" t="s">
        <v>200</v>
      </c>
      <c r="B121" s="36"/>
      <c r="C121" s="36"/>
      <c r="D121" s="36"/>
      <c r="E121" s="45"/>
      <c r="F121" s="34"/>
      <c r="G121" s="44"/>
      <c r="H121" s="36"/>
      <c r="I121" s="42" t="s">
        <v>201</v>
      </c>
      <c r="J121" s="17"/>
      <c r="K121" s="43"/>
      <c r="L121" s="36"/>
      <c r="M121" s="36"/>
      <c r="N121" s="33"/>
      <c r="O121" s="36"/>
      <c r="P121" s="36"/>
      <c r="Q121" s="36"/>
      <c r="R121" s="36"/>
      <c r="S121" s="36"/>
      <c r="T121" s="36"/>
    </row>
    <row r="122" spans="1:20">
      <c r="A122" s="33" t="s">
        <v>202</v>
      </c>
      <c r="B122" s="36"/>
      <c r="C122" s="36"/>
      <c r="D122" s="36"/>
      <c r="E122" s="36"/>
      <c r="F122" s="54">
        <f>RF*KV_3*HPV*AREA/BO/1000</f>
        <v>829.26837702969658</v>
      </c>
      <c r="G122" s="47"/>
      <c r="H122" s="54">
        <f>RF*KV_3*H113*AREA/BO/1000</f>
        <v>667.48958202988422</v>
      </c>
      <c r="I122" s="47"/>
      <c r="J122" s="54">
        <f>RF*KV_3*J113*AREA/BO/1000</f>
        <v>443.63306569683289</v>
      </c>
      <c r="K122" s="47"/>
      <c r="L122" s="54" t="e">
        <f>RF*KV_3*L113*AREA/BO/1000</f>
        <v>#N/A</v>
      </c>
      <c r="M122" s="29" t="s">
        <v>203</v>
      </c>
      <c r="N122" s="33"/>
      <c r="O122" s="36"/>
      <c r="P122" s="36"/>
      <c r="Q122" s="36"/>
      <c r="R122" s="36"/>
      <c r="S122" s="36"/>
      <c r="T122" s="36"/>
    </row>
    <row r="123" spans="1:20">
      <c r="A123" s="33" t="s">
        <v>204</v>
      </c>
      <c r="B123" s="36"/>
      <c r="C123" s="36"/>
      <c r="D123" s="36"/>
      <c r="E123" s="36"/>
      <c r="F123" s="54">
        <f>6.29*ROIL</f>
        <v>5216.0980915167911</v>
      </c>
      <c r="G123" s="47"/>
      <c r="H123" s="54">
        <f>6.29*H122</f>
        <v>4198.5094709679715</v>
      </c>
      <c r="I123" s="47"/>
      <c r="J123" s="54">
        <f>6.29*J122</f>
        <v>2790.4519832330789</v>
      </c>
      <c r="K123" s="47"/>
      <c r="L123" s="54" t="e">
        <f>6.29*L122</f>
        <v>#N/A</v>
      </c>
      <c r="M123" s="29" t="s">
        <v>205</v>
      </c>
      <c r="N123" s="33"/>
      <c r="O123" s="36"/>
      <c r="P123" s="36"/>
      <c r="Q123" s="36"/>
      <c r="R123" s="36"/>
      <c r="S123" s="36"/>
      <c r="T123" s="36"/>
    </row>
    <row r="124" spans="1:20">
      <c r="A124" s="33" t="s">
        <v>206</v>
      </c>
      <c r="B124" s="36"/>
      <c r="C124" s="36"/>
      <c r="D124" s="36"/>
      <c r="E124" s="36"/>
      <c r="F124" s="54">
        <f>F123/RF</f>
        <v>34773.987276778607</v>
      </c>
      <c r="G124" s="47"/>
      <c r="H124" s="54">
        <f>H123/RF</f>
        <v>27990.063139786478</v>
      </c>
      <c r="I124" s="47"/>
      <c r="J124" s="54">
        <f>J123/RF</f>
        <v>18603.013221553862</v>
      </c>
      <c r="K124" s="47"/>
      <c r="L124" s="54" t="e">
        <f>L123/RF</f>
        <v>#N/A</v>
      </c>
      <c r="M124" s="29" t="s">
        <v>205</v>
      </c>
      <c r="N124" s="33"/>
      <c r="O124" s="36"/>
      <c r="P124" s="36"/>
      <c r="Q124" s="36"/>
      <c r="R124" s="36"/>
      <c r="S124" s="36"/>
      <c r="T124" s="36"/>
    </row>
    <row r="125" spans="1:20">
      <c r="A125" s="33"/>
      <c r="B125" s="36"/>
      <c r="C125" s="36"/>
      <c r="D125" s="36"/>
      <c r="E125" s="36"/>
      <c r="F125" s="19"/>
      <c r="G125" s="34"/>
      <c r="H125" s="20"/>
      <c r="I125" s="17"/>
      <c r="J125" s="20"/>
      <c r="K125" s="36"/>
      <c r="L125" s="20"/>
      <c r="M125" s="36"/>
      <c r="N125" s="33"/>
      <c r="O125" s="36"/>
      <c r="P125" s="36"/>
      <c r="Q125" s="36"/>
      <c r="R125" s="36"/>
      <c r="S125" s="36"/>
      <c r="T125" s="36"/>
    </row>
    <row r="126" spans="1:20">
      <c r="A126" s="33" t="s">
        <v>207</v>
      </c>
      <c r="B126" s="36"/>
      <c r="C126" s="36"/>
      <c r="D126" s="36" t="s">
        <v>208</v>
      </c>
      <c r="E126" s="69">
        <v>20000</v>
      </c>
      <c r="F126" s="33" t="s">
        <v>209</v>
      </c>
      <c r="G126" s="36" t="s">
        <v>210</v>
      </c>
      <c r="H126" s="66">
        <v>2</v>
      </c>
      <c r="I126" s="33" t="s">
        <v>211</v>
      </c>
      <c r="J126" s="36" t="s">
        <v>212</v>
      </c>
      <c r="K126" s="84">
        <v>7.5600000000000001E-2</v>
      </c>
      <c r="L126" s="75" t="s">
        <v>213</v>
      </c>
      <c r="M126" s="33"/>
      <c r="N126" s="33"/>
      <c r="O126" s="36"/>
      <c r="P126" s="36"/>
      <c r="Q126" s="36"/>
      <c r="R126" s="36"/>
      <c r="S126" s="36"/>
      <c r="T126" s="36"/>
    </row>
    <row r="127" spans="1:20">
      <c r="A127" s="33" t="s">
        <v>214</v>
      </c>
      <c r="B127" s="36"/>
      <c r="C127" s="36"/>
      <c r="D127" s="36"/>
      <c r="E127" s="36"/>
      <c r="F127" s="55">
        <f>KH</f>
        <v>53.023451327183302</v>
      </c>
      <c r="G127" s="49"/>
      <c r="H127" s="55">
        <f>H114</f>
        <v>8.275140357009656</v>
      </c>
      <c r="I127" s="49"/>
      <c r="J127" s="55">
        <f>J114</f>
        <v>0.63538476672792044</v>
      </c>
      <c r="K127" s="49"/>
      <c r="L127" s="55" t="e">
        <f>L114</f>
        <v>#N/A</v>
      </c>
      <c r="M127" s="27" t="s">
        <v>192</v>
      </c>
      <c r="N127" s="31"/>
      <c r="O127" s="36"/>
      <c r="P127" s="36"/>
      <c r="Q127" s="36"/>
      <c r="R127" s="36"/>
      <c r="S127" s="36"/>
      <c r="T127" s="36"/>
    </row>
    <row r="128" spans="1:20">
      <c r="A128" s="33" t="s">
        <v>215</v>
      </c>
      <c r="B128" s="36"/>
      <c r="C128" s="36"/>
      <c r="D128" s="36"/>
      <c r="E128" s="36"/>
      <c r="F128" s="54">
        <f>KV_1*KH*PF_PS/VISO/10000</f>
        <v>4.008572920335058</v>
      </c>
      <c r="G128" s="48"/>
      <c r="H128" s="54">
        <f>KV_1*H114*PF_PS/VISO/10000</f>
        <v>0.62560061098993003</v>
      </c>
      <c r="I128" s="48"/>
      <c r="J128" s="54">
        <f>KV_1*J114*PF_PS/VISO/10000</f>
        <v>4.8035088364630787E-2</v>
      </c>
      <c r="K128" s="48"/>
      <c r="L128" s="54" t="e">
        <f>KV_1*L114*PF_PS/VISO/10000</f>
        <v>#N/A</v>
      </c>
      <c r="M128" s="27" t="s">
        <v>216</v>
      </c>
      <c r="N128" s="31"/>
      <c r="O128" s="35"/>
      <c r="P128" s="17"/>
      <c r="Q128" s="35"/>
      <c r="R128" s="36"/>
      <c r="S128" s="36"/>
      <c r="T128" s="36"/>
    </row>
    <row r="129" spans="1:20">
      <c r="A129" s="33" t="s">
        <v>217</v>
      </c>
      <c r="B129" s="36"/>
      <c r="C129" s="36"/>
      <c r="D129" s="36"/>
      <c r="E129" s="36"/>
      <c r="F129" s="54">
        <f>6.29*QO</f>
        <v>25.213923668907515</v>
      </c>
      <c r="G129" s="48"/>
      <c r="H129" s="54">
        <f>6.29*H128</f>
        <v>3.9350278431266599</v>
      </c>
      <c r="I129" s="48"/>
      <c r="J129" s="54">
        <f>6.29*J128</f>
        <v>0.30214070581352764</v>
      </c>
      <c r="K129" s="48"/>
      <c r="L129" s="54" t="e">
        <f>6.29*L128</f>
        <v>#N/A</v>
      </c>
      <c r="M129" s="27" t="s">
        <v>218</v>
      </c>
      <c r="N129" s="31"/>
      <c r="O129" s="35"/>
      <c r="P129" s="17"/>
      <c r="Q129" s="35"/>
      <c r="R129" s="36"/>
      <c r="S129" s="36"/>
      <c r="T129" s="36"/>
    </row>
    <row r="130" spans="1:20">
      <c r="A130" s="33"/>
      <c r="B130" s="36"/>
      <c r="C130" s="36"/>
      <c r="D130" s="36"/>
      <c r="E130" s="36"/>
      <c r="F130" s="19"/>
      <c r="G130" s="34"/>
      <c r="H130" s="20"/>
      <c r="I130" s="17"/>
      <c r="J130" s="20"/>
      <c r="K130" s="36"/>
      <c r="L130" s="20"/>
      <c r="M130" s="36"/>
      <c r="N130" s="33"/>
      <c r="O130" s="35"/>
      <c r="P130" s="17"/>
      <c r="Q130" s="35"/>
      <c r="R130" s="36"/>
      <c r="S130" s="36"/>
      <c r="T130" s="36"/>
    </row>
    <row r="131" spans="1:20">
      <c r="A131" s="33" t="s">
        <v>219</v>
      </c>
      <c r="B131" s="36"/>
      <c r="C131" s="36"/>
      <c r="D131" s="36"/>
      <c r="E131" s="36" t="s">
        <v>220</v>
      </c>
      <c r="F131" s="69">
        <v>1000</v>
      </c>
      <c r="G131" s="36" t="s">
        <v>221</v>
      </c>
      <c r="H131" s="36"/>
      <c r="I131" s="36"/>
      <c r="J131" s="36"/>
      <c r="K131" s="36"/>
      <c r="L131" s="36"/>
      <c r="M131" s="33"/>
      <c r="N131" s="33"/>
      <c r="O131" s="35"/>
      <c r="P131" s="17"/>
      <c r="Q131" s="35"/>
      <c r="R131" s="36"/>
      <c r="S131" s="36"/>
      <c r="T131" s="36"/>
    </row>
    <row r="132" spans="1:20">
      <c r="A132" s="33" t="s">
        <v>222</v>
      </c>
      <c r="B132" s="36"/>
      <c r="C132" s="36"/>
      <c r="D132" s="36"/>
      <c r="E132" s="36"/>
      <c r="F132" s="54">
        <f>KH/THICK*$F$131</f>
        <v>1060.4690265436661</v>
      </c>
      <c r="G132" s="48"/>
      <c r="H132" s="54">
        <f>H114/H111*$F$131</f>
        <v>165.50280714019311</v>
      </c>
      <c r="I132" s="48"/>
      <c r="J132" s="54">
        <f>J114/J111*$F$131</f>
        <v>12.707695334558409</v>
      </c>
      <c r="K132" s="48"/>
      <c r="L132" s="54" t="e">
        <f>L114/L111*$F$131</f>
        <v>#N/A</v>
      </c>
      <c r="M132" s="27" t="s">
        <v>192</v>
      </c>
      <c r="N132" s="31"/>
      <c r="O132" s="35"/>
      <c r="P132" s="17"/>
      <c r="Q132" s="35"/>
      <c r="R132" s="36"/>
      <c r="S132" s="36"/>
      <c r="T132" s="36"/>
    </row>
    <row r="133" spans="1:20">
      <c r="A133" s="33" t="s">
        <v>223</v>
      </c>
      <c r="B133" s="36"/>
      <c r="C133" s="36"/>
      <c r="D133" s="36"/>
      <c r="E133" s="36"/>
      <c r="F133" s="54">
        <f>KV_1*F132*PF_PS/VISO/10000</f>
        <v>80.171458406701163</v>
      </c>
      <c r="G133" s="48"/>
      <c r="H133" s="54">
        <f>KV_1*H132*PF_PS/VISO/10000</f>
        <v>12.512012219798599</v>
      </c>
      <c r="I133" s="48"/>
      <c r="J133" s="54">
        <f>KV_1*J132*PF_PS/VISO/10000</f>
        <v>0.96070176729261569</v>
      </c>
      <c r="K133" s="48"/>
      <c r="L133" s="54" t="e">
        <f>KV_1*L132*PF_PS/VISO/10000</f>
        <v>#N/A</v>
      </c>
      <c r="M133" s="27" t="s">
        <v>216</v>
      </c>
      <c r="N133" s="31"/>
      <c r="O133" s="35"/>
      <c r="P133" s="17"/>
      <c r="Q133" s="35"/>
      <c r="R133" s="36"/>
      <c r="S133" s="36"/>
      <c r="T133" s="36"/>
    </row>
    <row r="134" spans="1:20">
      <c r="A134" s="33" t="s">
        <v>224</v>
      </c>
      <c r="B134" s="36"/>
      <c r="C134" s="36"/>
      <c r="D134" s="36"/>
      <c r="E134" s="36"/>
      <c r="F134" s="54">
        <f>6.29*F133</f>
        <v>504.2784733781503</v>
      </c>
      <c r="G134" s="48"/>
      <c r="H134" s="54">
        <f>6.29*H133</f>
        <v>78.70055686253319</v>
      </c>
      <c r="I134" s="48"/>
      <c r="J134" s="54">
        <f>6.29*J133</f>
        <v>6.0428141162705531</v>
      </c>
      <c r="K134" s="48"/>
      <c r="L134" s="54" t="e">
        <f>6.29*L133</f>
        <v>#N/A</v>
      </c>
      <c r="M134" s="27" t="s">
        <v>218</v>
      </c>
      <c r="N134" s="31"/>
      <c r="O134" s="35"/>
      <c r="P134" s="17"/>
      <c r="Q134" s="35"/>
      <c r="R134" s="36"/>
      <c r="S134" s="36"/>
      <c r="T134" s="36"/>
    </row>
    <row r="135" spans="1:20">
      <c r="A135" s="4"/>
      <c r="B135" s="36"/>
      <c r="C135" s="36"/>
      <c r="D135" s="36"/>
      <c r="E135" s="36"/>
      <c r="F135" s="19"/>
      <c r="G135" s="34"/>
      <c r="H135" s="20"/>
      <c r="I135" s="17"/>
      <c r="J135" s="18"/>
      <c r="K135" s="17"/>
      <c r="L135" s="18"/>
      <c r="M135" s="34"/>
      <c r="N135" s="31"/>
      <c r="O135" s="35"/>
      <c r="P135" s="17"/>
      <c r="Q135" s="35"/>
      <c r="R135" s="36"/>
      <c r="S135" s="36"/>
      <c r="T135" s="36"/>
    </row>
    <row r="136" spans="1:20" ht="18">
      <c r="A136" s="14" t="s">
        <v>225</v>
      </c>
      <c r="B136" s="16"/>
      <c r="C136" s="16"/>
      <c r="D136" s="16"/>
      <c r="E136" s="16" t="s">
        <v>75</v>
      </c>
      <c r="F136" s="16"/>
      <c r="G136" s="16" t="s">
        <v>76</v>
      </c>
      <c r="H136" s="16"/>
      <c r="I136" s="16" t="s">
        <v>77</v>
      </c>
      <c r="J136" s="16"/>
      <c r="K136" s="16" t="s">
        <v>78</v>
      </c>
      <c r="L136" s="16"/>
      <c r="M136" s="16"/>
      <c r="N136" s="31"/>
      <c r="O136" s="35"/>
      <c r="P136" s="17"/>
      <c r="Q136" s="35"/>
      <c r="R136" s="36"/>
      <c r="S136" s="36"/>
      <c r="T136" s="36"/>
    </row>
    <row r="137" spans="1:20">
      <c r="A137" s="4"/>
      <c r="B137" s="36"/>
      <c r="C137" s="36"/>
      <c r="D137" s="36"/>
      <c r="E137" s="36"/>
      <c r="F137" s="34"/>
      <c r="G137" s="34"/>
      <c r="H137" s="36"/>
      <c r="I137" s="17"/>
      <c r="J137" s="17"/>
      <c r="K137" s="17"/>
      <c r="L137" s="17"/>
      <c r="M137" s="34"/>
      <c r="N137" s="31"/>
      <c r="O137" s="35"/>
      <c r="P137" s="17"/>
      <c r="Q137" s="35"/>
      <c r="R137" s="36"/>
      <c r="S137" s="36"/>
      <c r="T137" s="36"/>
    </row>
    <row r="138" spans="1:20">
      <c r="A138" s="33" t="s">
        <v>226</v>
      </c>
      <c r="B138" s="36"/>
      <c r="C138" s="36"/>
      <c r="D138" s="36" t="s">
        <v>227</v>
      </c>
      <c r="E138" s="69">
        <v>22000</v>
      </c>
      <c r="F138" s="31" t="s">
        <v>228</v>
      </c>
      <c r="G138" s="65">
        <v>100</v>
      </c>
      <c r="H138" s="33" t="s">
        <v>209</v>
      </c>
      <c r="I138" s="36" t="s">
        <v>229</v>
      </c>
      <c r="J138" s="69">
        <v>0.9</v>
      </c>
      <c r="K138" s="4"/>
      <c r="L138" s="5"/>
      <c r="M138" s="5"/>
      <c r="N138" s="31"/>
      <c r="O138" s="35"/>
      <c r="P138" s="17"/>
      <c r="Q138" s="35"/>
      <c r="R138" s="36"/>
      <c r="S138" s="36"/>
      <c r="T138" s="36"/>
    </row>
    <row r="139" spans="1:20">
      <c r="A139" s="33"/>
      <c r="B139" s="36"/>
      <c r="C139" s="36"/>
      <c r="D139" s="17" t="s">
        <v>230</v>
      </c>
      <c r="E139" s="64">
        <f>FT</f>
        <v>130</v>
      </c>
      <c r="F139" s="31" t="s">
        <v>231</v>
      </c>
      <c r="G139" s="65">
        <v>15</v>
      </c>
      <c r="H139" s="33" t="s">
        <v>56</v>
      </c>
      <c r="I139" s="17" t="s">
        <v>232</v>
      </c>
      <c r="J139" s="76">
        <v>273</v>
      </c>
      <c r="K139" s="31" t="s">
        <v>56</v>
      </c>
      <c r="L139" s="5"/>
      <c r="M139" s="34"/>
      <c r="N139" s="31"/>
      <c r="O139" s="35"/>
      <c r="P139" s="17"/>
      <c r="Q139" s="35"/>
      <c r="R139" s="36"/>
      <c r="S139" s="36"/>
      <c r="T139" s="36"/>
    </row>
    <row r="140" spans="1:20">
      <c r="A140" s="33"/>
      <c r="B140" s="36"/>
      <c r="C140" s="36"/>
      <c r="D140" s="34" t="s">
        <v>233</v>
      </c>
      <c r="E140" s="66">
        <v>0.4</v>
      </c>
      <c r="F140" s="33" t="s">
        <v>198</v>
      </c>
      <c r="G140" s="64">
        <f>640000*4</f>
        <v>2560000</v>
      </c>
      <c r="H140" s="33" t="s">
        <v>234</v>
      </c>
      <c r="I140" s="17" t="s">
        <v>235</v>
      </c>
      <c r="J140" s="77">
        <v>1</v>
      </c>
      <c r="K140" s="33"/>
      <c r="L140" s="5"/>
      <c r="M140" s="34"/>
      <c r="N140" s="31"/>
      <c r="O140" s="35"/>
      <c r="P140" s="17"/>
      <c r="Q140" s="35"/>
      <c r="R140" s="36"/>
      <c r="S140" s="36"/>
      <c r="T140" s="36"/>
    </row>
    <row r="141" spans="1:20">
      <c r="A141" s="33" t="s">
        <v>236</v>
      </c>
      <c r="B141" s="36"/>
      <c r="C141" s="36"/>
      <c r="D141" s="36"/>
      <c r="E141" s="23"/>
      <c r="F141" s="34"/>
      <c r="G141" s="22" t="s">
        <v>201</v>
      </c>
      <c r="H141" s="36"/>
      <c r="I141" s="17"/>
      <c r="J141" s="21"/>
      <c r="K141" s="17"/>
      <c r="L141" s="17"/>
      <c r="M141" s="34"/>
      <c r="N141" s="31"/>
      <c r="O141" s="35"/>
      <c r="P141" s="17"/>
      <c r="Q141" s="35"/>
      <c r="R141" s="36"/>
      <c r="S141" s="36"/>
      <c r="T141" s="36"/>
    </row>
    <row r="142" spans="1:20">
      <c r="A142" s="33" t="s">
        <v>237</v>
      </c>
      <c r="B142" s="36"/>
      <c r="C142" s="36"/>
      <c r="D142" s="36"/>
      <c r="E142" s="36"/>
      <c r="F142" s="34"/>
      <c r="G142" s="36" t="s">
        <v>238</v>
      </c>
      <c r="H142" s="57">
        <f>(PS*(TF+KT_2))/(PF*(TS+KT_2))*ZF</f>
        <v>5.7244318181818186E-3</v>
      </c>
      <c r="I142" s="26"/>
      <c r="J142" s="17"/>
      <c r="K142" s="17"/>
      <c r="L142" s="17"/>
      <c r="M142" s="34"/>
      <c r="N142" s="31"/>
      <c r="O142" s="35"/>
      <c r="P142" s="17"/>
      <c r="Q142" s="35"/>
      <c r="R142" s="36"/>
      <c r="S142" s="36"/>
      <c r="T142" s="36"/>
    </row>
    <row r="143" spans="1:20">
      <c r="A143" s="33" t="s">
        <v>239</v>
      </c>
      <c r="B143" s="36"/>
      <c r="C143" s="36"/>
      <c r="D143" s="36"/>
      <c r="E143" s="36"/>
      <c r="F143" s="53">
        <f>RFG*KV_4*HPV*AREAG/BG/1000</f>
        <v>482882.49580554699</v>
      </c>
      <c r="G143" s="82"/>
      <c r="H143" s="53">
        <f>RFG*KV_4*H113*AREAG/BG/1000</f>
        <v>388678.79714560672</v>
      </c>
      <c r="I143" s="47"/>
      <c r="J143" s="53">
        <f>RFG*KV_4*J113*AREAG/BG/1000</f>
        <v>258327.27729575711</v>
      </c>
      <c r="K143" s="47"/>
      <c r="L143" s="53" t="e">
        <f>RFG*KV_4*L113*AREAG/BG/1000</f>
        <v>#N/A</v>
      </c>
      <c r="M143" s="27" t="s">
        <v>240</v>
      </c>
      <c r="N143" s="31"/>
      <c r="O143" s="35"/>
      <c r="P143" s="17"/>
      <c r="Q143" s="35"/>
      <c r="R143" s="36"/>
      <c r="S143" s="36"/>
      <c r="T143" s="36"/>
    </row>
    <row r="144" spans="1:20">
      <c r="A144" s="33" t="s">
        <v>241</v>
      </c>
      <c r="B144" s="36"/>
      <c r="C144" s="36"/>
      <c r="D144" s="36"/>
      <c r="E144" s="36"/>
      <c r="F144" s="63">
        <f>0.0353*RGAS/1000</f>
        <v>17.045752101935808</v>
      </c>
      <c r="G144" s="60"/>
      <c r="H144" s="63">
        <f>0.0353*H143/1000</f>
        <v>13.720361539239917</v>
      </c>
      <c r="I144" s="59"/>
      <c r="J144" s="63">
        <f>0.0353*J143/1000</f>
        <v>9.1189528885402247</v>
      </c>
      <c r="K144" s="59"/>
      <c r="L144" s="63" t="e">
        <f>0.0353*L143/1000</f>
        <v>#N/A</v>
      </c>
      <c r="M144" s="31" t="s">
        <v>242</v>
      </c>
      <c r="N144" s="31"/>
      <c r="O144" s="35"/>
      <c r="P144" s="17"/>
      <c r="Q144" s="35"/>
      <c r="R144" s="36"/>
      <c r="S144" s="36"/>
      <c r="T144" s="36"/>
    </row>
    <row r="145" spans="1:20">
      <c r="A145" s="33" t="s">
        <v>243</v>
      </c>
      <c r="B145" s="36"/>
      <c r="C145" s="36"/>
      <c r="D145" s="36"/>
      <c r="E145" s="36"/>
      <c r="F145" s="63">
        <f>F144/RFG</f>
        <v>42.614380254839517</v>
      </c>
      <c r="G145" s="60"/>
      <c r="H145" s="63">
        <f>H144/RFG</f>
        <v>34.300903848099793</v>
      </c>
      <c r="I145" s="59"/>
      <c r="J145" s="63">
        <f>J144/RFG</f>
        <v>22.79738222135056</v>
      </c>
      <c r="K145" s="59"/>
      <c r="L145" s="63" t="e">
        <f>L144/RFG</f>
        <v>#N/A</v>
      </c>
      <c r="M145" s="31" t="s">
        <v>242</v>
      </c>
      <c r="N145" s="31"/>
      <c r="O145" s="35"/>
      <c r="P145" s="17"/>
      <c r="Q145" s="35"/>
      <c r="R145" s="36"/>
      <c r="S145" s="36"/>
      <c r="T145" s="36"/>
    </row>
    <row r="146" spans="1:20">
      <c r="A146" s="33"/>
      <c r="B146" s="36"/>
      <c r="C146" s="36"/>
      <c r="D146" s="36"/>
      <c r="E146" s="36"/>
      <c r="F146" s="22"/>
      <c r="G146" s="34"/>
      <c r="H146" s="23"/>
      <c r="I146" s="17"/>
      <c r="J146" s="21"/>
      <c r="K146" s="17"/>
      <c r="L146" s="21"/>
      <c r="M146" s="34"/>
      <c r="N146" s="31"/>
      <c r="O146" s="35"/>
      <c r="P146" s="17"/>
      <c r="Q146" s="35"/>
      <c r="R146" s="36"/>
      <c r="S146" s="36"/>
      <c r="T146" s="36"/>
    </row>
    <row r="147" spans="1:20">
      <c r="A147" s="33" t="s">
        <v>244</v>
      </c>
      <c r="B147" s="36"/>
      <c r="C147" s="36"/>
      <c r="D147" s="36"/>
      <c r="E147" s="5"/>
      <c r="F147" s="5"/>
      <c r="G147" s="5"/>
      <c r="H147" s="36"/>
      <c r="I147" s="17" t="s">
        <v>245</v>
      </c>
      <c r="J147" s="85">
        <f>0.061*1.79</f>
        <v>0.10919</v>
      </c>
      <c r="K147" s="83" t="s">
        <v>246</v>
      </c>
      <c r="L147" s="4"/>
      <c r="M147" s="34"/>
      <c r="N147" s="31"/>
      <c r="O147" s="35"/>
      <c r="P147" s="17"/>
      <c r="Q147" s="35"/>
      <c r="R147" s="36"/>
      <c r="S147" s="36"/>
      <c r="T147" s="36"/>
    </row>
    <row r="148" spans="1:20">
      <c r="A148" s="33" t="s">
        <v>247</v>
      </c>
      <c r="B148" s="36"/>
      <c r="C148" s="36"/>
      <c r="D148" s="36"/>
      <c r="E148" s="36"/>
      <c r="F148" s="55">
        <f>KH</f>
        <v>53.023451327183302</v>
      </c>
      <c r="G148" s="49"/>
      <c r="H148" s="55">
        <f>H114</f>
        <v>8.275140357009656</v>
      </c>
      <c r="I148" s="49"/>
      <c r="J148" s="55">
        <f>J114</f>
        <v>0.63538476672792044</v>
      </c>
      <c r="K148" s="49"/>
      <c r="L148" s="55" t="e">
        <f>L114</f>
        <v>#N/A</v>
      </c>
      <c r="M148" s="27" t="s">
        <v>192</v>
      </c>
      <c r="N148" s="31"/>
      <c r="O148" s="35"/>
      <c r="P148" s="17"/>
      <c r="Q148" s="35"/>
      <c r="R148" s="36"/>
      <c r="S148" s="36"/>
      <c r="T148" s="36"/>
    </row>
    <row r="149" spans="1:20">
      <c r="A149" s="33" t="s">
        <v>248</v>
      </c>
      <c r="B149" s="36"/>
      <c r="C149" s="36"/>
      <c r="D149" s="36"/>
      <c r="E149" s="36"/>
      <c r="F149" s="56">
        <f>KV_2*KH*((PF-PS)^2)/(TF+KT_2)/1000000</f>
        <v>6.8902351271603166</v>
      </c>
      <c r="G149" s="50"/>
      <c r="H149" s="56" t="e">
        <f>KV_2*H114*((PF-I138)^2)/(TF+KT_2)/1000000</f>
        <v>#VALUE!</v>
      </c>
      <c r="I149" s="50"/>
      <c r="J149" s="56">
        <f>KV_2*J114*((PF-K138)^2)/(TF+KT_2)/1000000</f>
        <v>8.3322056418477591E-2</v>
      </c>
      <c r="K149" s="50"/>
      <c r="L149" s="56" t="e">
        <f>KV_2*L114*((PF-M138)^2)/(TF+KT_2)/1000000</f>
        <v>#N/A</v>
      </c>
      <c r="M149" s="27" t="s">
        <v>249</v>
      </c>
      <c r="N149" s="31"/>
      <c r="O149" s="35"/>
      <c r="P149" s="17"/>
      <c r="Q149" s="35"/>
      <c r="R149" s="36"/>
      <c r="S149" s="36"/>
      <c r="T149" s="36"/>
    </row>
    <row r="150" spans="1:20">
      <c r="A150" s="33" t="s">
        <v>250</v>
      </c>
      <c r="B150" s="36"/>
      <c r="C150" s="36"/>
      <c r="D150" s="36"/>
      <c r="E150" s="36"/>
      <c r="F150" s="56">
        <f>0.0353*QG</f>
        <v>0.24322529998875916</v>
      </c>
      <c r="G150" s="50"/>
      <c r="H150" s="56" t="e">
        <f>0.0353*H149</f>
        <v>#VALUE!</v>
      </c>
      <c r="I150" s="50"/>
      <c r="J150" s="56">
        <f>0.0353*J149</f>
        <v>2.941268591572259E-3</v>
      </c>
      <c r="K150" s="50"/>
      <c r="L150" s="56" t="e">
        <f>0.0353*L149</f>
        <v>#N/A</v>
      </c>
      <c r="M150" s="27" t="s">
        <v>251</v>
      </c>
      <c r="N150" s="31"/>
      <c r="O150" s="35"/>
      <c r="P150" s="17"/>
      <c r="Q150" s="35"/>
      <c r="R150" s="36"/>
      <c r="S150" s="36"/>
      <c r="T150" s="36"/>
    </row>
    <row r="151" spans="1:20">
      <c r="A151" s="33"/>
      <c r="B151" s="36"/>
      <c r="C151" s="36"/>
      <c r="D151" s="36"/>
      <c r="E151" s="36"/>
      <c r="F151" s="22"/>
      <c r="G151" s="34"/>
      <c r="H151" s="23"/>
      <c r="I151" s="17"/>
      <c r="J151" s="21"/>
      <c r="K151" s="17"/>
      <c r="L151" s="21"/>
      <c r="M151" s="34"/>
      <c r="N151" s="31"/>
      <c r="O151" s="35"/>
      <c r="P151" s="17"/>
      <c r="Q151" s="35"/>
      <c r="R151" s="36"/>
      <c r="S151" s="36"/>
      <c r="T151" s="36"/>
    </row>
    <row r="152" spans="1:20">
      <c r="A152" s="33" t="s">
        <v>252</v>
      </c>
      <c r="B152" s="36"/>
      <c r="C152" s="36"/>
      <c r="D152" s="36"/>
      <c r="E152" s="36" t="s">
        <v>220</v>
      </c>
      <c r="F152" s="69">
        <v>1000</v>
      </c>
      <c r="G152" s="36" t="s">
        <v>221</v>
      </c>
      <c r="I152" s="17" t="s">
        <v>245</v>
      </c>
      <c r="J152" s="85">
        <f>0.061*1.79</f>
        <v>0.10919</v>
      </c>
      <c r="K152" s="83" t="s">
        <v>246</v>
      </c>
      <c r="L152" s="4"/>
      <c r="M152" s="34"/>
      <c r="N152" s="31"/>
      <c r="O152" s="35"/>
      <c r="P152" s="17"/>
      <c r="Q152" s="35"/>
      <c r="R152" s="36"/>
      <c r="S152" s="36"/>
      <c r="T152" s="36"/>
    </row>
    <row r="153" spans="1:20">
      <c r="A153" s="33" t="s">
        <v>253</v>
      </c>
      <c r="B153" s="36"/>
      <c r="C153" s="36"/>
      <c r="D153" s="36"/>
      <c r="E153" s="36"/>
      <c r="F153" s="54">
        <f>KH/THICK*$F$152</f>
        <v>1060.4690265436661</v>
      </c>
      <c r="G153" s="48"/>
      <c r="H153" s="54">
        <f>H114/H111*$F$152</f>
        <v>165.50280714019311</v>
      </c>
      <c r="I153" s="48"/>
      <c r="J153" s="54">
        <f>J114/J111*$F$152</f>
        <v>12.707695334558409</v>
      </c>
      <c r="K153" s="48"/>
      <c r="L153" s="54" t="e">
        <f>L114/L111*$F$152</f>
        <v>#N/A</v>
      </c>
      <c r="M153" s="27" t="s">
        <v>192</v>
      </c>
      <c r="N153" s="31"/>
      <c r="O153" s="35"/>
      <c r="P153" s="17"/>
      <c r="Q153" s="35"/>
      <c r="R153" s="36"/>
      <c r="S153" s="36"/>
      <c r="T153" s="36"/>
    </row>
    <row r="154" spans="1:20">
      <c r="A154" s="33" t="s">
        <v>254</v>
      </c>
      <c r="B154" s="36"/>
      <c r="C154" s="36"/>
      <c r="D154" s="36"/>
      <c r="E154" s="36"/>
      <c r="F154" s="56">
        <f>KV_2*F153*((PF-G143)^2)/(TF+KT_2)/1000000</f>
        <v>139.06606624322234</v>
      </c>
      <c r="G154" s="50"/>
      <c r="H154" s="56">
        <f>KV_2*H153*((PF-I143)^2)/(TF+KT_2)/1000000</f>
        <v>21.703438540031364</v>
      </c>
      <c r="I154" s="50"/>
      <c r="J154" s="56">
        <f>KV_2*J153*((PF-K143)^2)/(TF+KT_2)/1000000</f>
        <v>1.6664411283695522</v>
      </c>
      <c r="K154" s="50"/>
      <c r="L154" s="56" t="e">
        <f>KV_2*L153*((PF-M143)^2)/(TF+KT_2)/1000000</f>
        <v>#N/A</v>
      </c>
      <c r="M154" s="27" t="s">
        <v>249</v>
      </c>
      <c r="N154" s="31"/>
      <c r="O154" s="35"/>
      <c r="P154" s="17"/>
      <c r="Q154" s="35"/>
      <c r="R154" s="36"/>
      <c r="S154" s="36"/>
      <c r="T154" s="36"/>
    </row>
    <row r="155" spans="1:20">
      <c r="A155" s="33" t="s">
        <v>255</v>
      </c>
      <c r="B155" s="36"/>
      <c r="C155" s="36"/>
      <c r="D155" s="36"/>
      <c r="E155" s="36"/>
      <c r="F155" s="56">
        <f>0.0353*F154</f>
        <v>4.909032138385748</v>
      </c>
      <c r="G155" s="50"/>
      <c r="H155" s="56">
        <f>0.0353*H154</f>
        <v>0.76613138046310714</v>
      </c>
      <c r="I155" s="50"/>
      <c r="J155" s="56">
        <f>0.0353*J154</f>
        <v>5.8825371831445185E-2</v>
      </c>
      <c r="K155" s="50"/>
      <c r="L155" s="56" t="e">
        <f>0.0353*L154</f>
        <v>#N/A</v>
      </c>
      <c r="M155" s="27" t="s">
        <v>251</v>
      </c>
      <c r="N155" s="31"/>
      <c r="O155" s="35"/>
      <c r="P155" s="17"/>
      <c r="Q155" s="35"/>
      <c r="R155" s="36"/>
      <c r="S155" s="36"/>
      <c r="T155" s="36"/>
    </row>
    <row r="156" spans="1:20">
      <c r="A156" s="33"/>
      <c r="B156" s="36"/>
      <c r="C156" s="36"/>
      <c r="D156" s="36"/>
      <c r="E156" s="36"/>
      <c r="F156" s="19"/>
      <c r="G156" s="34"/>
      <c r="H156" s="20"/>
      <c r="I156" s="17"/>
      <c r="J156" s="21"/>
      <c r="K156" s="17"/>
      <c r="L156" s="17"/>
      <c r="M156" s="34"/>
      <c r="N156" s="31"/>
      <c r="O156" s="35"/>
      <c r="P156" s="17"/>
      <c r="Q156" s="35"/>
      <c r="R156" s="36"/>
      <c r="S156" s="36"/>
      <c r="T156" s="36"/>
    </row>
    <row r="157" spans="1:20" ht="18">
      <c r="A157" s="14" t="s">
        <v>256</v>
      </c>
      <c r="B157" s="16"/>
      <c r="C157" s="16"/>
      <c r="D157" s="16"/>
      <c r="E157" s="16" t="s">
        <v>75</v>
      </c>
      <c r="F157" s="16"/>
      <c r="G157" s="16" t="s">
        <v>76</v>
      </c>
      <c r="H157" s="16"/>
      <c r="I157" s="16" t="s">
        <v>77</v>
      </c>
      <c r="J157" s="16"/>
      <c r="K157" s="16" t="s">
        <v>78</v>
      </c>
      <c r="L157" s="16"/>
      <c r="M157" s="16"/>
      <c r="N157" s="31"/>
      <c r="O157" s="35"/>
      <c r="P157" s="17"/>
      <c r="Q157" s="35"/>
      <c r="R157" s="36"/>
      <c r="S157" s="36"/>
      <c r="T157" s="36"/>
    </row>
    <row r="158" spans="1:20">
      <c r="A158" s="33"/>
      <c r="B158" s="36"/>
      <c r="C158" s="36"/>
      <c r="D158" s="36"/>
      <c r="E158" s="36"/>
      <c r="F158" s="34"/>
      <c r="G158" s="34"/>
      <c r="H158" s="36"/>
      <c r="I158" s="17"/>
      <c r="J158" s="17"/>
      <c r="K158" s="17"/>
      <c r="L158" s="17"/>
      <c r="M158" s="34"/>
      <c r="N158" s="31"/>
      <c r="O158" s="35"/>
      <c r="P158" s="17"/>
      <c r="Q158" s="35"/>
      <c r="R158" s="36"/>
      <c r="S158" s="36"/>
      <c r="T158" s="36"/>
    </row>
    <row r="159" spans="1:20">
      <c r="A159" s="30" t="s">
        <v>257</v>
      </c>
      <c r="B159" s="36"/>
      <c r="C159" s="25"/>
      <c r="D159" s="36" t="s">
        <v>258</v>
      </c>
      <c r="E159" s="64">
        <v>640</v>
      </c>
      <c r="F159" s="33" t="s">
        <v>259</v>
      </c>
      <c r="G159" s="34"/>
      <c r="H159" s="34" t="s">
        <v>260</v>
      </c>
      <c r="I159" s="68">
        <v>1.3596999999999999</v>
      </c>
      <c r="J159" s="30" t="s">
        <v>261</v>
      </c>
      <c r="K159" s="17"/>
      <c r="L159" s="30"/>
      <c r="M159" s="71"/>
      <c r="N159" s="31"/>
      <c r="O159" s="35"/>
      <c r="P159" s="17"/>
      <c r="Q159" s="35"/>
      <c r="R159" s="36"/>
      <c r="S159" s="36"/>
      <c r="T159" s="36"/>
    </row>
    <row r="160" spans="1:20">
      <c r="A160" s="30"/>
      <c r="B160" s="36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71"/>
      <c r="N160" s="31"/>
      <c r="O160" s="35"/>
      <c r="P160" s="17"/>
      <c r="Q160" s="35"/>
      <c r="R160" s="36"/>
      <c r="S160" s="36"/>
      <c r="T160" s="36"/>
    </row>
    <row r="161" spans="1:20">
      <c r="A161" s="33" t="s">
        <v>262</v>
      </c>
      <c r="B161" s="36"/>
      <c r="C161" s="36"/>
      <c r="D161" s="36"/>
      <c r="E161" s="36" t="s">
        <v>263</v>
      </c>
      <c r="F161" s="56">
        <f>F70</f>
        <v>0.03</v>
      </c>
      <c r="G161" s="48"/>
      <c r="H161" s="56">
        <f>H70</f>
        <v>0.04</v>
      </c>
      <c r="I161" s="48"/>
      <c r="J161" s="56">
        <f>J70</f>
        <v>0.05</v>
      </c>
      <c r="K161" s="48"/>
      <c r="L161" s="56" t="e">
        <f>L70</f>
        <v>#N/A</v>
      </c>
      <c r="M161" s="27" t="s">
        <v>122</v>
      </c>
      <c r="N161" s="36"/>
      <c r="O161" s="35"/>
      <c r="P161" s="17"/>
      <c r="Q161" s="35"/>
      <c r="R161" s="36"/>
      <c r="S161" s="36"/>
      <c r="T161" s="36"/>
    </row>
    <row r="162" spans="1:20">
      <c r="A162" s="25" t="s">
        <v>264</v>
      </c>
      <c r="B162" s="36"/>
      <c r="C162" s="36"/>
      <c r="D162" s="36"/>
      <c r="E162" s="36" t="s">
        <v>265</v>
      </c>
      <c r="F162" s="54">
        <v>9</v>
      </c>
      <c r="G162" s="48"/>
      <c r="H162" s="54">
        <v>9</v>
      </c>
      <c r="I162" s="48"/>
      <c r="J162" s="54">
        <v>8</v>
      </c>
      <c r="K162" s="48"/>
      <c r="L162" s="54">
        <v>8</v>
      </c>
      <c r="M162" s="27" t="s">
        <v>266</v>
      </c>
      <c r="N162" s="31"/>
      <c r="O162" s="35"/>
      <c r="P162" s="17"/>
      <c r="Q162" s="35"/>
      <c r="R162" s="36"/>
      <c r="S162" s="36"/>
      <c r="T162" s="36"/>
    </row>
    <row r="163" spans="1:20">
      <c r="A163" s="33" t="s">
        <v>267</v>
      </c>
      <c r="B163" s="36"/>
      <c r="C163" s="36"/>
      <c r="D163" s="36"/>
      <c r="E163" s="36" t="s">
        <v>268</v>
      </c>
      <c r="F163" s="54">
        <f>F161*100*WTTAR</f>
        <v>27</v>
      </c>
      <c r="G163" s="48"/>
      <c r="H163" s="54">
        <f>H161*100*H162</f>
        <v>36</v>
      </c>
      <c r="I163" s="47"/>
      <c r="J163" s="54">
        <f>J161*100*J162</f>
        <v>40</v>
      </c>
      <c r="K163" s="47"/>
      <c r="L163" s="54" t="e">
        <f>L161*100*L162</f>
        <v>#N/A</v>
      </c>
      <c r="M163" s="27" t="s">
        <v>269</v>
      </c>
      <c r="N163" s="31"/>
      <c r="O163" s="35"/>
      <c r="P163" s="17"/>
      <c r="Q163" s="35"/>
      <c r="R163" s="36"/>
      <c r="S163" s="36"/>
      <c r="T163" s="36"/>
    </row>
    <row r="164" spans="1:20">
      <c r="A164" s="33" t="s">
        <v>270</v>
      </c>
      <c r="B164" s="36"/>
      <c r="C164" s="36"/>
      <c r="D164" s="36"/>
      <c r="E164" s="36"/>
      <c r="F164" s="56">
        <f>PHIE*1+(1-PHIE)*2.65</f>
        <v>2.5514112157534248</v>
      </c>
      <c r="G164" s="48"/>
      <c r="H164" s="56">
        <f>H87*1+(1-H87)*2.65</f>
        <v>2.5718388513513513</v>
      </c>
      <c r="I164" s="47"/>
      <c r="J164" s="56">
        <f>J87*1+(1-J87)*2.65</f>
        <v>2.59765625</v>
      </c>
      <c r="K164" s="47"/>
      <c r="L164" s="56" t="e">
        <f>L87*1+(1-L87)*2.65</f>
        <v>#N/A</v>
      </c>
      <c r="M164" s="27" t="s">
        <v>271</v>
      </c>
      <c r="N164" s="31"/>
      <c r="O164" s="35"/>
      <c r="P164" s="17"/>
      <c r="Q164" s="35"/>
      <c r="R164" s="36"/>
      <c r="S164" s="36"/>
      <c r="T164" s="36"/>
    </row>
    <row r="165" spans="1:20">
      <c r="A165" s="33" t="s">
        <v>272</v>
      </c>
      <c r="B165" s="36"/>
      <c r="C165" s="36"/>
      <c r="D165" s="36"/>
      <c r="E165" s="36"/>
      <c r="F165" s="54">
        <f>NETPAY*3.281</f>
        <v>164.05</v>
      </c>
      <c r="G165" s="48"/>
      <c r="H165" s="54">
        <f>H115*3.281</f>
        <v>164.05</v>
      </c>
      <c r="I165" s="47"/>
      <c r="J165" s="54">
        <f>J115*3.281</f>
        <v>164.05</v>
      </c>
      <c r="K165" s="47"/>
      <c r="L165" s="54" t="e">
        <f>L115*3.281</f>
        <v>#N/A</v>
      </c>
      <c r="M165" s="27" t="s">
        <v>273</v>
      </c>
      <c r="N165" s="31"/>
      <c r="O165" s="35"/>
      <c r="P165" s="17"/>
      <c r="Q165" s="35"/>
      <c r="R165" s="36"/>
      <c r="S165" s="36"/>
      <c r="T165" s="36"/>
    </row>
    <row r="166" spans="1:20">
      <c r="A166" s="33" t="s">
        <v>274</v>
      </c>
      <c r="B166" s="36"/>
      <c r="C166" s="36"/>
      <c r="D166" s="36"/>
      <c r="E166" s="36"/>
      <c r="F166" s="54">
        <f>1.3597*10^-6*WTSH*WTSND*WTWTR*DENSHY</f>
        <v>9.8343017709926137</v>
      </c>
      <c r="G166" s="48"/>
      <c r="H166" s="54">
        <f>1.3597*10^-6*H163*H164*H165*DENSHY</f>
        <v>13.217385586135173</v>
      </c>
      <c r="I166" s="48"/>
      <c r="J166" s="54">
        <f>1.3597*10^-6*J163*J164*J165*DENSHY</f>
        <v>14.833409202499999</v>
      </c>
      <c r="K166" s="48"/>
      <c r="L166" s="54" t="e">
        <f>1.3597*10^-6*L163*L164*L165*DENSHY</f>
        <v>#N/A</v>
      </c>
      <c r="M166" s="27" t="s">
        <v>242</v>
      </c>
      <c r="N166" s="31"/>
      <c r="O166" s="35"/>
      <c r="P166" s="17"/>
      <c r="Q166" s="35"/>
      <c r="R166" s="36"/>
      <c r="S166" s="36"/>
      <c r="T166" s="36"/>
    </row>
    <row r="167" spans="1:20">
      <c r="A167" s="33" t="s">
        <v>275</v>
      </c>
      <c r="B167" s="36"/>
      <c r="C167" s="36"/>
      <c r="D167" s="36"/>
      <c r="E167" s="36"/>
      <c r="F167" s="54">
        <f>F145+WTROCK</f>
        <v>52.448682025832127</v>
      </c>
      <c r="G167" s="48"/>
      <c r="H167" s="54">
        <f>H145+H166</f>
        <v>47.518289434234966</v>
      </c>
      <c r="I167" s="47"/>
      <c r="J167" s="54">
        <f>J145+J166</f>
        <v>37.63079142385056</v>
      </c>
      <c r="K167" s="47"/>
      <c r="L167" s="54" t="e">
        <f>L145+L166</f>
        <v>#N/A</v>
      </c>
      <c r="M167" s="27" t="s">
        <v>242</v>
      </c>
      <c r="N167" s="31"/>
      <c r="O167" s="35"/>
      <c r="P167" s="17"/>
      <c r="Q167" s="35"/>
      <c r="R167" s="36"/>
      <c r="S167" s="36"/>
      <c r="T167" s="36"/>
    </row>
    <row r="168" spans="1:20">
      <c r="A168" s="33"/>
      <c r="B168" s="36"/>
      <c r="C168" s="36"/>
      <c r="D168" s="36"/>
      <c r="E168" s="36"/>
      <c r="F168" s="39"/>
      <c r="G168" s="71"/>
      <c r="H168" s="39"/>
      <c r="I168" s="70"/>
      <c r="J168" s="39"/>
      <c r="K168" s="70"/>
      <c r="L168" s="39"/>
      <c r="M168" s="34"/>
      <c r="N168" s="31"/>
      <c r="O168" s="35"/>
      <c r="P168" s="17"/>
      <c r="Q168" s="35"/>
      <c r="R168" s="36"/>
      <c r="S168" s="36"/>
      <c r="T168" s="36"/>
    </row>
    <row r="169" spans="1:20" ht="18">
      <c r="A169" s="15"/>
      <c r="B169" s="13"/>
      <c r="C169" s="13"/>
      <c r="D169" s="13"/>
      <c r="E169" s="13"/>
      <c r="F169" s="13"/>
      <c r="G169" s="12"/>
      <c r="H169" s="12"/>
      <c r="I169" s="13"/>
      <c r="J169" s="11"/>
      <c r="K169" s="11"/>
      <c r="L169" s="11"/>
      <c r="M169" s="12"/>
      <c r="N169" s="33"/>
      <c r="O169" s="36"/>
      <c r="P169" s="36"/>
      <c r="Q169" s="36"/>
      <c r="R169" s="36"/>
      <c r="S169" s="36"/>
      <c r="T169" s="36"/>
    </row>
    <row r="170" spans="1:20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36"/>
      <c r="O170" s="36"/>
      <c r="P170" s="36"/>
      <c r="Q170" s="36"/>
      <c r="R170" s="36"/>
      <c r="S170" s="36"/>
      <c r="T170" s="36"/>
    </row>
    <row r="171" spans="1:20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>
      <c r="A174" s="36"/>
      <c r="B174" s="36"/>
      <c r="C174" s="36"/>
      <c r="D174" s="36"/>
      <c r="E174" s="36"/>
      <c r="F174" s="34"/>
      <c r="G174" s="34"/>
      <c r="H174" s="36"/>
      <c r="I174" s="17"/>
      <c r="J174" s="17"/>
      <c r="K174" s="17"/>
      <c r="L174" s="17"/>
      <c r="M174" s="34"/>
      <c r="N174" s="34"/>
      <c r="O174" s="35"/>
      <c r="P174" s="17"/>
      <c r="Q174" s="35"/>
      <c r="R174" s="36"/>
      <c r="S174" s="36"/>
      <c r="T174" s="36"/>
    </row>
    <row r="175" spans="1:20">
      <c r="A175" s="36"/>
      <c r="B175" s="36"/>
      <c r="C175" s="36"/>
      <c r="D175" s="36"/>
      <c r="E175" s="36"/>
      <c r="F175" s="34"/>
      <c r="G175" s="34"/>
      <c r="H175" s="36"/>
      <c r="I175" s="17"/>
      <c r="J175" s="17"/>
      <c r="K175" s="17"/>
      <c r="L175" s="17"/>
      <c r="M175" s="34"/>
      <c r="N175" s="34"/>
      <c r="O175" s="35"/>
      <c r="P175" s="17"/>
      <c r="Q175" s="35"/>
      <c r="R175" s="36"/>
      <c r="S175" s="36"/>
      <c r="T175" s="36"/>
    </row>
    <row r="176" spans="1:20">
      <c r="A176" s="36"/>
      <c r="B176" s="36"/>
      <c r="C176" s="36"/>
      <c r="D176" s="36"/>
      <c r="E176" s="36"/>
      <c r="F176" s="34"/>
      <c r="G176" s="34"/>
      <c r="H176" s="36"/>
      <c r="I176" s="17"/>
      <c r="J176" s="17"/>
      <c r="K176" s="17"/>
      <c r="L176" s="17"/>
      <c r="M176" s="34"/>
      <c r="N176" s="34"/>
      <c r="O176" s="35"/>
      <c r="P176" s="17"/>
      <c r="Q176" s="35"/>
      <c r="R176" s="36"/>
      <c r="S176" s="36"/>
      <c r="T176" s="36"/>
    </row>
    <row r="177" spans="1:20">
      <c r="A177" s="36"/>
      <c r="B177" s="36"/>
      <c r="C177" s="36"/>
      <c r="D177" s="36"/>
      <c r="E177" s="36"/>
      <c r="F177" s="34"/>
      <c r="G177" s="34"/>
      <c r="H177" s="36"/>
      <c r="I177" s="17"/>
      <c r="J177" s="17"/>
      <c r="K177" s="17"/>
      <c r="L177" s="17"/>
      <c r="M177" s="34"/>
      <c r="N177" s="34"/>
      <c r="O177" s="35"/>
      <c r="P177" s="17"/>
      <c r="Q177" s="35"/>
      <c r="R177" s="36"/>
      <c r="S177" s="36"/>
      <c r="T177" s="36"/>
    </row>
    <row r="178" spans="1:20">
      <c r="A178" s="36"/>
      <c r="B178" s="36"/>
      <c r="C178" s="36"/>
      <c r="D178" s="36"/>
      <c r="E178" s="36"/>
      <c r="F178" s="34"/>
      <c r="G178" s="34"/>
      <c r="H178" s="36"/>
      <c r="I178" s="17"/>
      <c r="J178" s="17"/>
      <c r="K178" s="17"/>
      <c r="L178" s="17"/>
      <c r="M178" s="34"/>
      <c r="N178" s="34"/>
      <c r="O178" s="35"/>
      <c r="P178" s="17"/>
      <c r="Q178" s="35"/>
      <c r="R178" s="36"/>
      <c r="S178" s="36"/>
      <c r="T178" s="36"/>
    </row>
    <row r="179" spans="1:20">
      <c r="A179" s="36"/>
      <c r="B179" s="36"/>
      <c r="C179" s="36"/>
      <c r="D179" s="36"/>
      <c r="E179" s="36"/>
      <c r="F179" s="34"/>
      <c r="G179" s="34"/>
      <c r="H179" s="36"/>
      <c r="I179" s="17"/>
      <c r="J179" s="17"/>
      <c r="K179" s="17"/>
      <c r="L179" s="17"/>
      <c r="M179" s="34"/>
      <c r="N179" s="34"/>
      <c r="O179" s="35"/>
      <c r="P179" s="17"/>
      <c r="Q179" s="35"/>
      <c r="R179" s="36"/>
      <c r="S179" s="36"/>
      <c r="T179" s="36"/>
    </row>
    <row r="180" spans="1:20">
      <c r="A180" s="36"/>
      <c r="B180" s="36"/>
      <c r="C180" s="36"/>
      <c r="D180" s="36"/>
      <c r="E180" s="36"/>
      <c r="F180" s="34"/>
      <c r="G180" s="34"/>
      <c r="H180" s="36"/>
      <c r="I180" s="17"/>
      <c r="J180" s="17"/>
      <c r="K180" s="17"/>
      <c r="L180" s="17"/>
      <c r="M180" s="34"/>
      <c r="N180" s="34"/>
      <c r="O180" s="35"/>
      <c r="P180" s="17"/>
      <c r="Q180" s="35"/>
      <c r="R180" s="36"/>
      <c r="S180" s="36"/>
      <c r="T180" s="36"/>
    </row>
    <row r="181" spans="1:20">
      <c r="A181" s="36"/>
      <c r="B181" s="36"/>
      <c r="C181" s="36"/>
      <c r="D181" s="36"/>
      <c r="E181" s="36"/>
      <c r="F181" s="34"/>
      <c r="G181" s="34"/>
      <c r="H181" s="36"/>
      <c r="I181" s="17"/>
      <c r="J181" s="17"/>
      <c r="K181" s="17"/>
      <c r="L181" s="17"/>
      <c r="M181" s="34"/>
      <c r="N181" s="34"/>
      <c r="O181" s="35"/>
      <c r="P181" s="17"/>
      <c r="Q181" s="35"/>
      <c r="R181" s="36"/>
      <c r="S181" s="36"/>
      <c r="T181" s="36"/>
    </row>
    <row r="182" spans="1:20">
      <c r="A182" s="36"/>
      <c r="B182" s="36"/>
      <c r="C182" s="36"/>
      <c r="D182" s="36"/>
      <c r="E182" s="36"/>
      <c r="F182" s="34"/>
      <c r="G182" s="34"/>
      <c r="H182" s="36"/>
      <c r="I182" s="17"/>
      <c r="J182" s="17"/>
      <c r="K182" s="17"/>
      <c r="L182" s="17"/>
      <c r="M182" s="34"/>
      <c r="N182" s="34"/>
      <c r="O182" s="35"/>
      <c r="P182" s="17"/>
      <c r="Q182" s="35"/>
      <c r="R182" s="36"/>
      <c r="S182" s="36"/>
      <c r="T182" s="36"/>
    </row>
    <row r="183" spans="1:20">
      <c r="A183" s="36"/>
      <c r="B183" s="36"/>
      <c r="C183" s="36"/>
      <c r="D183" s="36"/>
      <c r="E183" s="36"/>
      <c r="F183" s="34"/>
      <c r="G183" s="34"/>
      <c r="H183" s="36"/>
      <c r="I183" s="17"/>
      <c r="J183" s="17"/>
      <c r="K183" s="17"/>
      <c r="L183" s="17"/>
      <c r="M183" s="34"/>
      <c r="N183" s="34"/>
      <c r="O183" s="35"/>
      <c r="P183" s="17"/>
      <c r="Q183" s="35"/>
      <c r="R183" s="36"/>
      <c r="S183" s="36"/>
      <c r="T183" s="36"/>
    </row>
    <row r="184" spans="1:20">
      <c r="A184" s="36"/>
      <c r="B184" s="36"/>
      <c r="C184" s="36"/>
      <c r="D184" s="36"/>
      <c r="E184" s="36"/>
      <c r="F184" s="34"/>
      <c r="G184" s="34"/>
      <c r="H184" s="36"/>
      <c r="I184" s="17"/>
      <c r="J184" s="17"/>
      <c r="K184" s="17"/>
      <c r="L184" s="17"/>
      <c r="M184" s="34"/>
      <c r="N184" s="34"/>
      <c r="O184" s="35"/>
      <c r="P184" s="17"/>
      <c r="Q184" s="35"/>
      <c r="R184" s="36"/>
      <c r="S184" s="36"/>
      <c r="T184" s="36"/>
    </row>
    <row r="185" spans="1:20">
      <c r="A185" s="36"/>
      <c r="B185" s="36"/>
      <c r="C185" s="36"/>
      <c r="D185" s="36"/>
      <c r="E185" s="36"/>
      <c r="F185" s="34"/>
      <c r="G185" s="34"/>
      <c r="H185" s="36"/>
      <c r="I185" s="17"/>
      <c r="J185" s="17"/>
      <c r="K185" s="17"/>
      <c r="L185" s="17"/>
      <c r="M185" s="34"/>
      <c r="N185" s="34"/>
      <c r="O185" s="35"/>
      <c r="P185" s="17"/>
      <c r="Q185" s="35"/>
      <c r="R185" s="36"/>
      <c r="S185" s="36"/>
      <c r="T185" s="36"/>
    </row>
    <row r="186" spans="1:20">
      <c r="A186" s="36"/>
      <c r="B186" s="36"/>
      <c r="C186" s="36"/>
      <c r="D186" s="36"/>
      <c r="E186" s="36"/>
      <c r="F186" s="34"/>
      <c r="G186" s="34"/>
      <c r="H186" s="36"/>
      <c r="I186" s="17"/>
      <c r="J186" s="17"/>
      <c r="K186" s="17"/>
      <c r="L186" s="17"/>
      <c r="M186" s="34"/>
      <c r="N186" s="34"/>
      <c r="O186" s="35"/>
      <c r="P186" s="17"/>
      <c r="Q186" s="35"/>
      <c r="R186" s="36"/>
      <c r="S186" s="36"/>
      <c r="T186" s="36"/>
    </row>
    <row r="187" spans="1:20">
      <c r="A187" s="36"/>
      <c r="B187" s="36"/>
      <c r="C187" s="36"/>
      <c r="D187" s="36"/>
      <c r="E187" s="36"/>
      <c r="F187" s="34"/>
      <c r="G187" s="34"/>
      <c r="H187" s="36"/>
      <c r="I187" s="17"/>
      <c r="J187" s="17"/>
      <c r="K187" s="17"/>
      <c r="L187" s="17"/>
      <c r="M187" s="34"/>
      <c r="N187" s="34"/>
      <c r="O187" s="35"/>
      <c r="P187" s="17"/>
      <c r="Q187" s="35"/>
      <c r="R187" s="36"/>
      <c r="S187" s="36"/>
      <c r="T187" s="36"/>
    </row>
    <row r="188" spans="1:20">
      <c r="A188" s="36"/>
      <c r="B188" s="36"/>
      <c r="C188" s="36"/>
      <c r="D188" s="36"/>
      <c r="E188" s="36"/>
      <c r="F188" s="34"/>
      <c r="G188" s="34"/>
      <c r="H188" s="36"/>
      <c r="I188" s="17"/>
      <c r="J188" s="17"/>
      <c r="K188" s="17"/>
      <c r="L188" s="17"/>
      <c r="M188" s="34"/>
      <c r="N188" s="34"/>
      <c r="O188" s="35"/>
      <c r="P188" s="17"/>
      <c r="Q188" s="35"/>
      <c r="R188" s="36"/>
      <c r="S188" s="36"/>
      <c r="T188" s="36"/>
    </row>
    <row r="189" spans="1:20">
      <c r="A189" s="36"/>
      <c r="B189" s="36"/>
      <c r="C189" s="36"/>
      <c r="D189" s="36"/>
      <c r="E189" s="36"/>
      <c r="F189" s="34"/>
      <c r="G189" s="34"/>
      <c r="H189" s="36"/>
      <c r="I189" s="17"/>
      <c r="J189" s="17"/>
      <c r="K189" s="17"/>
      <c r="L189" s="17"/>
      <c r="M189" s="34"/>
      <c r="N189" s="34"/>
      <c r="O189" s="35"/>
      <c r="P189" s="17"/>
      <c r="Q189" s="35"/>
      <c r="R189" s="36"/>
      <c r="S189" s="36"/>
      <c r="T189" s="36"/>
    </row>
    <row r="190" spans="1:20">
      <c r="A190" s="36"/>
      <c r="B190" s="36"/>
      <c r="C190" s="36"/>
      <c r="D190" s="36"/>
      <c r="E190" s="36"/>
      <c r="F190" s="34"/>
      <c r="G190" s="34"/>
      <c r="H190" s="36"/>
      <c r="I190" s="17"/>
      <c r="J190" s="17"/>
      <c r="K190" s="17"/>
      <c r="L190" s="17"/>
      <c r="M190" s="34"/>
      <c r="N190" s="34"/>
      <c r="O190" s="35"/>
      <c r="P190" s="17"/>
      <c r="Q190" s="35"/>
      <c r="R190" s="36"/>
      <c r="S190" s="36"/>
      <c r="T190" s="36"/>
    </row>
    <row r="191" spans="1:20">
      <c r="A191" s="36"/>
      <c r="B191" s="36"/>
      <c r="C191" s="36"/>
      <c r="D191" s="36"/>
      <c r="E191" s="36"/>
      <c r="F191" s="34"/>
      <c r="G191" s="34"/>
      <c r="H191" s="36"/>
      <c r="I191" s="17"/>
      <c r="J191" s="17"/>
      <c r="K191" s="17"/>
      <c r="L191" s="17"/>
      <c r="M191" s="34"/>
      <c r="N191" s="34"/>
      <c r="O191" s="35"/>
      <c r="P191" s="17"/>
      <c r="Q191" s="35"/>
      <c r="R191" s="36"/>
      <c r="S191" s="36"/>
      <c r="T191" s="36"/>
    </row>
    <row r="192" spans="1:20">
      <c r="A192" s="36"/>
      <c r="B192" s="36"/>
      <c r="C192" s="36"/>
      <c r="D192" s="36"/>
      <c r="E192" s="36"/>
      <c r="F192" s="34"/>
      <c r="G192" s="34"/>
      <c r="H192" s="36"/>
      <c r="I192" s="17"/>
      <c r="J192" s="17"/>
      <c r="K192" s="17"/>
      <c r="L192" s="17"/>
      <c r="M192" s="34"/>
      <c r="N192" s="34"/>
      <c r="O192" s="35"/>
      <c r="P192" s="17"/>
      <c r="Q192" s="35"/>
      <c r="R192" s="36"/>
      <c r="S192" s="36"/>
      <c r="T192" s="36"/>
    </row>
    <row r="193" spans="1:20">
      <c r="A193" s="36"/>
      <c r="B193" s="36"/>
      <c r="C193" s="36"/>
      <c r="D193" s="36"/>
      <c r="E193" s="36"/>
      <c r="F193" s="34"/>
      <c r="G193" s="34"/>
      <c r="H193" s="36"/>
      <c r="I193" s="17"/>
      <c r="J193" s="17"/>
      <c r="K193" s="17"/>
      <c r="L193" s="17"/>
      <c r="M193" s="34"/>
      <c r="N193" s="34"/>
      <c r="O193" s="35"/>
      <c r="P193" s="17"/>
      <c r="Q193" s="35"/>
      <c r="R193" s="36"/>
      <c r="S193" s="36"/>
      <c r="T193" s="36"/>
    </row>
    <row r="194" spans="1:20">
      <c r="A194" s="36"/>
      <c r="B194" s="36"/>
      <c r="C194" s="36"/>
      <c r="D194" s="36"/>
      <c r="E194" s="36"/>
      <c r="F194" s="34"/>
      <c r="G194" s="34"/>
      <c r="H194" s="36"/>
      <c r="I194" s="17"/>
      <c r="J194" s="17"/>
      <c r="K194" s="17"/>
      <c r="L194" s="17"/>
      <c r="M194" s="34"/>
      <c r="N194" s="34"/>
      <c r="O194" s="35"/>
      <c r="P194" s="17"/>
      <c r="Q194" s="35"/>
      <c r="R194" s="36"/>
      <c r="S194" s="36"/>
      <c r="T194" s="36"/>
    </row>
    <row r="195" spans="1:20">
      <c r="A195" s="36"/>
      <c r="B195" s="36"/>
      <c r="C195" s="36"/>
      <c r="D195" s="36"/>
      <c r="E195" s="36"/>
      <c r="F195" s="34"/>
      <c r="G195" s="34"/>
      <c r="H195" s="36"/>
      <c r="I195" s="17"/>
      <c r="J195" s="17"/>
      <c r="K195" s="17"/>
      <c r="L195" s="17"/>
      <c r="M195" s="34"/>
      <c r="N195" s="34"/>
      <c r="O195" s="35"/>
      <c r="P195" s="17"/>
      <c r="Q195" s="35"/>
      <c r="R195" s="36"/>
      <c r="S195" s="36"/>
      <c r="T195" s="36"/>
    </row>
    <row r="196" spans="1:20">
      <c r="A196" s="36"/>
      <c r="B196" s="36"/>
      <c r="C196" s="36"/>
      <c r="D196" s="36"/>
      <c r="E196" s="36"/>
      <c r="F196" s="34"/>
      <c r="G196" s="34"/>
      <c r="H196" s="36"/>
      <c r="I196" s="17"/>
      <c r="J196" s="17"/>
      <c r="K196" s="17"/>
      <c r="L196" s="17"/>
      <c r="M196" s="34"/>
      <c r="N196" s="34"/>
      <c r="O196" s="35"/>
      <c r="P196" s="17"/>
      <c r="Q196" s="35"/>
      <c r="R196" s="36"/>
      <c r="S196" s="36"/>
      <c r="T196" s="36"/>
    </row>
    <row r="197" spans="1:20">
      <c r="A197" s="36"/>
      <c r="B197" s="36"/>
      <c r="C197" s="36"/>
      <c r="D197" s="36"/>
      <c r="E197" s="36"/>
      <c r="F197" s="34"/>
      <c r="G197" s="34"/>
      <c r="H197" s="36"/>
      <c r="I197" s="17"/>
      <c r="J197" s="17"/>
      <c r="K197" s="17"/>
      <c r="L197" s="17"/>
      <c r="M197" s="34"/>
      <c r="N197" s="34"/>
      <c r="O197" s="35"/>
      <c r="P197" s="17"/>
      <c r="Q197" s="35"/>
      <c r="R197" s="36"/>
      <c r="S197" s="36"/>
      <c r="T197" s="36"/>
    </row>
    <row r="198" spans="1:20">
      <c r="A198" s="36"/>
      <c r="B198" s="36"/>
      <c r="C198" s="36"/>
      <c r="D198" s="36"/>
      <c r="E198" s="36"/>
      <c r="F198" s="34"/>
      <c r="G198" s="34"/>
      <c r="H198" s="36"/>
      <c r="I198" s="17"/>
      <c r="J198" s="17"/>
      <c r="K198" s="17"/>
      <c r="L198" s="17"/>
      <c r="M198" s="34"/>
      <c r="N198" s="34"/>
      <c r="O198" s="35"/>
      <c r="P198" s="17"/>
      <c r="Q198" s="35"/>
      <c r="R198" s="36"/>
      <c r="S198" s="36"/>
      <c r="T198" s="36"/>
    </row>
    <row r="199" spans="1:20">
      <c r="A199" s="36"/>
      <c r="B199" s="36"/>
      <c r="C199" s="36"/>
      <c r="D199" s="36"/>
      <c r="E199" s="36"/>
      <c r="F199" s="34"/>
      <c r="G199" s="34"/>
      <c r="H199" s="36"/>
      <c r="I199" s="17"/>
      <c r="J199" s="17"/>
      <c r="K199" s="17"/>
      <c r="L199" s="17"/>
      <c r="M199" s="34"/>
      <c r="N199" s="34"/>
      <c r="O199" s="35"/>
      <c r="P199" s="17"/>
      <c r="Q199" s="35"/>
      <c r="R199" s="36"/>
      <c r="S199" s="36"/>
      <c r="T199" s="36"/>
    </row>
    <row r="200" spans="1:20">
      <c r="A200" s="36"/>
      <c r="B200" s="36"/>
      <c r="C200" s="36"/>
      <c r="D200" s="36"/>
      <c r="E200" s="36"/>
      <c r="F200" s="34"/>
      <c r="G200" s="34"/>
      <c r="H200" s="36"/>
      <c r="I200" s="17"/>
      <c r="J200" s="17"/>
      <c r="K200" s="17"/>
      <c r="L200" s="17"/>
      <c r="M200" s="34"/>
      <c r="N200" s="34"/>
      <c r="O200" s="35"/>
      <c r="P200" s="17"/>
      <c r="Q200" s="35"/>
      <c r="R200" s="36"/>
      <c r="S200" s="36"/>
      <c r="T200" s="36"/>
    </row>
    <row r="201" spans="1:20">
      <c r="A201" s="36"/>
      <c r="B201" s="36"/>
      <c r="C201" s="36"/>
      <c r="D201" s="36"/>
      <c r="E201" s="36"/>
      <c r="F201" s="34"/>
      <c r="G201" s="34"/>
      <c r="H201" s="36"/>
      <c r="I201" s="17"/>
      <c r="J201" s="17"/>
      <c r="K201" s="17"/>
      <c r="L201" s="17"/>
      <c r="M201" s="34"/>
      <c r="N201" s="34"/>
      <c r="O201" s="35"/>
      <c r="P201" s="17"/>
      <c r="Q201" s="35"/>
      <c r="R201" s="36"/>
      <c r="S201" s="36"/>
      <c r="T201" s="36"/>
    </row>
    <row r="202" spans="1:20">
      <c r="A202" s="36"/>
      <c r="B202" s="36"/>
      <c r="C202" s="36"/>
      <c r="D202" s="36"/>
      <c r="E202" s="36"/>
      <c r="F202" s="34"/>
      <c r="G202" s="34"/>
      <c r="H202" s="36"/>
      <c r="I202" s="17"/>
      <c r="J202" s="17"/>
      <c r="K202" s="17"/>
      <c r="L202" s="17"/>
      <c r="M202" s="34"/>
      <c r="N202" s="34"/>
      <c r="O202" s="35"/>
      <c r="P202" s="17"/>
      <c r="Q202" s="35"/>
      <c r="R202" s="36"/>
      <c r="S202" s="36"/>
      <c r="T202" s="36"/>
    </row>
    <row r="203" spans="1:20">
      <c r="A203" s="36"/>
      <c r="B203" s="36"/>
      <c r="C203" s="36"/>
      <c r="D203" s="36"/>
      <c r="E203" s="36"/>
      <c r="F203" s="34"/>
      <c r="G203" s="34"/>
      <c r="H203" s="36"/>
      <c r="I203" s="17"/>
      <c r="J203" s="17"/>
      <c r="K203" s="17"/>
      <c r="L203" s="17"/>
      <c r="M203" s="34"/>
      <c r="N203" s="34"/>
      <c r="O203" s="35"/>
      <c r="P203" s="17"/>
      <c r="Q203" s="35"/>
      <c r="R203" s="5"/>
      <c r="S203" s="5"/>
      <c r="T203" s="5"/>
    </row>
    <row r="204" spans="1:20">
      <c r="A204" s="36"/>
      <c r="B204" s="36"/>
      <c r="C204" s="36"/>
      <c r="D204" s="36"/>
      <c r="E204" s="36"/>
      <c r="F204" s="34"/>
      <c r="G204" s="34"/>
      <c r="H204" s="36"/>
      <c r="I204" s="17"/>
      <c r="J204" s="17"/>
      <c r="K204" s="17"/>
      <c r="L204" s="17"/>
      <c r="M204" s="34"/>
      <c r="N204" s="34"/>
      <c r="O204" s="35"/>
      <c r="P204" s="17"/>
      <c r="Q204" s="35"/>
      <c r="R204" s="5"/>
      <c r="S204" s="5"/>
      <c r="T204" s="5"/>
    </row>
    <row r="205" spans="1:20">
      <c r="A205" s="36"/>
      <c r="B205" s="36"/>
      <c r="C205" s="36"/>
      <c r="D205" s="36"/>
      <c r="E205" s="36"/>
      <c r="F205" s="34"/>
      <c r="G205" s="34"/>
      <c r="H205" s="36"/>
      <c r="I205" s="17"/>
      <c r="J205" s="17"/>
      <c r="K205" s="17"/>
      <c r="L205" s="17"/>
      <c r="M205" s="34"/>
      <c r="N205" s="34"/>
      <c r="O205" s="35"/>
      <c r="P205" s="17"/>
      <c r="Q205" s="35"/>
      <c r="R205" s="5"/>
      <c r="S205" s="5"/>
      <c r="T205" s="5"/>
    </row>
    <row r="206" spans="1:20">
      <c r="A206" s="36"/>
      <c r="B206" s="36"/>
      <c r="C206" s="36"/>
      <c r="D206" s="36"/>
      <c r="E206" s="36"/>
      <c r="F206" s="34"/>
      <c r="G206" s="34"/>
      <c r="H206" s="36"/>
      <c r="I206" s="17"/>
      <c r="J206" s="17"/>
      <c r="K206" s="17"/>
      <c r="L206" s="17"/>
      <c r="M206" s="34"/>
      <c r="N206" s="34"/>
      <c r="O206" s="35"/>
      <c r="P206" s="17"/>
      <c r="Q206" s="35"/>
      <c r="R206" s="5"/>
      <c r="S206" s="5"/>
      <c r="T206" s="5"/>
    </row>
    <row r="207" spans="1:20">
      <c r="A207" s="36"/>
      <c r="B207" s="36"/>
      <c r="C207" s="36"/>
      <c r="D207" s="36"/>
      <c r="E207" s="36"/>
      <c r="F207" s="34"/>
      <c r="G207" s="34"/>
      <c r="H207" s="36"/>
      <c r="I207" s="17"/>
      <c r="J207" s="17"/>
      <c r="K207" s="17"/>
      <c r="L207" s="17"/>
      <c r="M207" s="34"/>
      <c r="N207" s="34"/>
      <c r="O207" s="35"/>
      <c r="P207" s="17"/>
      <c r="Q207" s="35"/>
      <c r="R207" s="5"/>
      <c r="S207" s="5"/>
      <c r="T207" s="5"/>
    </row>
  </sheetData>
  <mergeCells count="1">
    <mergeCell ref="K5:M5"/>
  </mergeCells>
  <hyperlinks>
    <hyperlink ref="K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101</vt:i4>
      </vt:variant>
    </vt:vector>
  </HeadingPairs>
  <TitlesOfParts>
    <vt:vector size="102" baseType="lpstr">
      <vt:lpstr>4METASHL-GAS</vt:lpstr>
      <vt:lpstr>_C</vt:lpstr>
      <vt:lpstr>A</vt:lpstr>
      <vt:lpstr>AREA</vt:lpstr>
      <vt:lpstr>AREAG</vt:lpstr>
      <vt:lpstr>BASE</vt:lpstr>
      <vt:lpstr>BG</vt:lpstr>
      <vt:lpstr>BHT</vt:lpstr>
      <vt:lpstr>BHTDEPTH</vt:lpstr>
      <vt:lpstr>BO</vt:lpstr>
      <vt:lpstr>CAL</vt:lpstr>
      <vt:lpstr>CPERM</vt:lpstr>
      <vt:lpstr>D</vt:lpstr>
      <vt:lpstr>DELT</vt:lpstr>
      <vt:lpstr>DELTMA</vt:lpstr>
      <vt:lpstr>DELTSH</vt:lpstr>
      <vt:lpstr>DELTW</vt:lpstr>
      <vt:lpstr>DENS</vt:lpstr>
      <vt:lpstr>DENSHY</vt:lpstr>
      <vt:lpstr>DENSMA</vt:lpstr>
      <vt:lpstr>DENSSH</vt:lpstr>
      <vt:lpstr>DENSW</vt:lpstr>
      <vt:lpstr>DEPTH</vt:lpstr>
      <vt:lpstr>DPERM</vt:lpstr>
      <vt:lpstr>E</vt:lpstr>
      <vt:lpstr>EPERM</vt:lpstr>
      <vt:lpstr>FT</vt:lpstr>
      <vt:lpstr>GR</vt:lpstr>
      <vt:lpstr>GR_0</vt:lpstr>
      <vt:lpstr>GR_100</vt:lpstr>
      <vt:lpstr>GRAD</vt:lpstr>
      <vt:lpstr>HPV</vt:lpstr>
      <vt:lpstr>KBUCKL</vt:lpstr>
      <vt:lpstr>KH</vt:lpstr>
      <vt:lpstr>KT_1</vt:lpstr>
      <vt:lpstr>KT_2</vt:lpstr>
      <vt:lpstr>KV_1</vt:lpstr>
      <vt:lpstr>KV_2</vt:lpstr>
      <vt:lpstr>KV_3</vt:lpstr>
      <vt:lpstr>KV_4</vt:lpstr>
      <vt:lpstr>KY_2</vt:lpstr>
      <vt:lpstr>M</vt:lpstr>
      <vt:lpstr>N</vt:lpstr>
      <vt:lpstr>NETPAY</vt:lpstr>
      <vt:lpstr>PE</vt:lpstr>
      <vt:lpstr>PERM</vt:lpstr>
      <vt:lpstr>PESH</vt:lpstr>
      <vt:lpstr>PF</vt:lpstr>
      <vt:lpstr>PF_PS</vt:lpstr>
      <vt:lpstr>PHID</vt:lpstr>
      <vt:lpstr>PHIDC</vt:lpstr>
      <vt:lpstr>PHIDSH</vt:lpstr>
      <vt:lpstr>PHIDWTR</vt:lpstr>
      <vt:lpstr>PHIE</vt:lpstr>
      <vt:lpstr>PHIN</vt:lpstr>
      <vt:lpstr>PHINC</vt:lpstr>
      <vt:lpstr>PHINS</vt:lpstr>
      <vt:lpstr>PHINSH</vt:lpstr>
      <vt:lpstr>PHINWTR</vt:lpstr>
      <vt:lpstr>PHIT</vt:lpstr>
      <vt:lpstr>PHIWTR</vt:lpstr>
      <vt:lpstr>PHIXDN</vt:lpstr>
      <vt:lpstr>PS</vt:lpstr>
      <vt:lpstr>PV</vt:lpstr>
      <vt:lpstr>QG</vt:lpstr>
      <vt:lpstr>QO</vt:lpstr>
      <vt:lpstr>RESD</vt:lpstr>
      <vt:lpstr>RF</vt:lpstr>
      <vt:lpstr>RFG</vt:lpstr>
      <vt:lpstr>RGAS</vt:lpstr>
      <vt:lpstr>RO</vt:lpstr>
      <vt:lpstr>ROIL</vt:lpstr>
      <vt:lpstr>RSH</vt:lpstr>
      <vt:lpstr>RW</vt:lpstr>
      <vt:lpstr>RW_1</vt:lpstr>
      <vt:lpstr>RW_2</vt:lpstr>
      <vt:lpstr>RWA</vt:lpstr>
      <vt:lpstr>RWCAT</vt:lpstr>
      <vt:lpstr>SP</vt:lpstr>
      <vt:lpstr>SP_0</vt:lpstr>
      <vt:lpstr>SP_100</vt:lpstr>
      <vt:lpstr>SUFT</vt:lpstr>
      <vt:lpstr>SW</vt:lpstr>
      <vt:lpstr>SWA</vt:lpstr>
      <vt:lpstr>SWIR</vt:lpstr>
      <vt:lpstr>SWS</vt:lpstr>
      <vt:lpstr>TF</vt:lpstr>
      <vt:lpstr>THICK</vt:lpstr>
      <vt:lpstr>TOP</vt:lpstr>
      <vt:lpstr>TRW</vt:lpstr>
      <vt:lpstr>TS</vt:lpstr>
      <vt:lpstr>VISO</vt:lpstr>
      <vt:lpstr>VSH</vt:lpstr>
      <vt:lpstr>VSHG</vt:lpstr>
      <vt:lpstr>VSHS</vt:lpstr>
      <vt:lpstr>VSHX</vt:lpstr>
      <vt:lpstr>WTROCK</vt:lpstr>
      <vt:lpstr>WTSH</vt:lpstr>
      <vt:lpstr>WTSND</vt:lpstr>
      <vt:lpstr>WTTAR</vt:lpstr>
      <vt:lpstr>WTWTR</vt:lpstr>
      <vt:lpstr>ZF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cp:lastPrinted>2018-10-03T15:36:26Z</cp:lastPrinted>
  <dcterms:created xsi:type="dcterms:W3CDTF">2013-12-19T20:29:24Z</dcterms:created>
  <dcterms:modified xsi:type="dcterms:W3CDTF">2018-10-03T16:40:42Z</dcterms:modified>
</cp:coreProperties>
</file>