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8850" windowHeight="9150"/>
  </bookViews>
  <sheets>
    <sheet name="4metadst converted" sheetId="1" r:id="rId1"/>
  </sheets>
  <definedNames>
    <definedName name="_1__123Graph_ACHART_1" localSheetId="0" hidden="1">'4metadst converted'!$W$64:$W$82</definedName>
    <definedName name="_2__123Graph_ACHART_2" localSheetId="0" hidden="1">'4metadst converted'!$AB$64:$AB$82</definedName>
    <definedName name="_3__123Graph_ACHART_3" localSheetId="0" hidden="1">'4metadst converted'!$Y$64:$Y$82</definedName>
    <definedName name="_4__123Graph_ACHART_4" localSheetId="0" hidden="1">'4metadst converted'!$AD$64:$AD$82</definedName>
    <definedName name="_5__123Graph_XCHART_1" localSheetId="0" hidden="1">'4metadst converted'!$V$64:$V$82</definedName>
    <definedName name="_6__123Graph_XCHART_2" localSheetId="0" hidden="1">'4metadst converted'!$AA$64:$AA$82</definedName>
    <definedName name="_7__123Graph_XCHART_3" localSheetId="0" hidden="1">'4metadst converted'!$V$64:$V$82</definedName>
    <definedName name="_8__123Graph_XCHART_4" localSheetId="0" hidden="1">'4metadst converted'!$AA$64:$AA$82</definedName>
    <definedName name="_Order1" localSheetId="0" hidden="1">255</definedName>
    <definedName name="_Order2" localSheetId="0" hidden="1">0</definedName>
    <definedName name="ANSWERS">'4metadst converted'!$M$42:$AD$43</definedName>
    <definedName name="HEADER">'4metadst converted'!$A$4:$J$12</definedName>
    <definedName name="LOGO">'4metadst converted'!$A$1:$J$3</definedName>
    <definedName name="PARAMETERS">'4metadst converted'!$A$1:$J$41</definedName>
    <definedName name="RAW_DATA">'4metadst converted'!$A$42:$M$43</definedName>
  </definedNames>
  <calcPr calcId="144525"/>
</workbook>
</file>

<file path=xl/calcChain.xml><?xml version="1.0" encoding="utf-8"?>
<calcChain xmlns="http://schemas.openxmlformats.org/spreadsheetml/2006/main">
  <c r="L37" i="1" l="1"/>
  <c r="L36" i="1"/>
  <c r="L35" i="1"/>
  <c r="L34" i="1"/>
  <c r="L33" i="1"/>
  <c r="D18" i="1" s="1"/>
  <c r="L32" i="1"/>
  <c r="T63" i="1" s="1"/>
  <c r="L31" i="1"/>
  <c r="L30" i="1"/>
  <c r="L29" i="1"/>
  <c r="L28" i="1"/>
  <c r="L27" i="1"/>
  <c r="L26" i="1"/>
  <c r="L25" i="1"/>
  <c r="L24" i="1"/>
  <c r="D16" i="1" s="1"/>
  <c r="L5" i="1"/>
  <c r="L6" i="1"/>
  <c r="P6" i="1"/>
  <c r="R6" i="1"/>
  <c r="L7" i="1"/>
  <c r="O7" i="1"/>
  <c r="P7" i="1"/>
  <c r="R7" i="1"/>
  <c r="L8" i="1"/>
  <c r="P8" i="1"/>
  <c r="R8" i="1"/>
  <c r="L9" i="1"/>
  <c r="L10" i="1"/>
  <c r="L11" i="1"/>
  <c r="L12" i="1"/>
  <c r="L13" i="1"/>
  <c r="L14" i="1"/>
  <c r="L15" i="1"/>
  <c r="L16" i="1"/>
  <c r="L17" i="1"/>
  <c r="H18" i="1"/>
  <c r="L18" i="1"/>
  <c r="L19" i="1"/>
  <c r="L20" i="1"/>
  <c r="D21" i="1"/>
  <c r="L21" i="1"/>
  <c r="L22" i="1"/>
  <c r="L23" i="1"/>
  <c r="A25" i="1"/>
  <c r="P62" i="1" s="1"/>
  <c r="C25" i="1"/>
  <c r="D25" i="1"/>
  <c r="L38" i="1"/>
  <c r="L39" i="1"/>
  <c r="L40" i="1"/>
  <c r="C45" i="1"/>
  <c r="M45" i="1" s="1"/>
  <c r="I45" i="1"/>
  <c r="S45" i="1" s="1"/>
  <c r="J45" i="1"/>
  <c r="T45" i="1"/>
  <c r="I46" i="1"/>
  <c r="J46" i="1"/>
  <c r="S46" i="1"/>
  <c r="T46" i="1"/>
  <c r="P49" i="1"/>
  <c r="Q49" i="1"/>
  <c r="S49" i="1"/>
  <c r="T49" i="1"/>
  <c r="P50" i="1"/>
  <c r="Q50" i="1"/>
  <c r="S50" i="1"/>
  <c r="T50" i="1"/>
  <c r="P51" i="1"/>
  <c r="S51" i="1"/>
  <c r="C52" i="1"/>
  <c r="G52" i="1"/>
  <c r="P52" i="1"/>
  <c r="S52" i="1"/>
  <c r="D56" i="1"/>
  <c r="H56" i="1"/>
  <c r="AA64" i="1" s="1"/>
  <c r="P56" i="1"/>
  <c r="Q56" i="1"/>
  <c r="S56" i="1"/>
  <c r="T56" i="1"/>
  <c r="D57" i="1"/>
  <c r="H57" i="1"/>
  <c r="P57" i="1"/>
  <c r="Q57" i="1"/>
  <c r="D58" i="1"/>
  <c r="D59" i="1"/>
  <c r="D60" i="1"/>
  <c r="D61" i="1"/>
  <c r="P59" i="1" s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T57" i="1"/>
  <c r="H58" i="1"/>
  <c r="AB66" i="1" s="1"/>
  <c r="P58" i="1"/>
  <c r="H61" i="1"/>
  <c r="S58" i="1" s="1"/>
  <c r="H59" i="1"/>
  <c r="AA67" i="1" s="1"/>
  <c r="H60" i="1"/>
  <c r="H62" i="1"/>
  <c r="H63" i="1"/>
  <c r="AB71" i="1" s="1"/>
  <c r="H64" i="1"/>
  <c r="H65" i="1"/>
  <c r="H66" i="1"/>
  <c r="H67" i="1"/>
  <c r="AB75" i="1" s="1"/>
  <c r="H68" i="1"/>
  <c r="H69" i="1"/>
  <c r="H70" i="1"/>
  <c r="H71" i="1"/>
  <c r="H72" i="1"/>
  <c r="H73" i="1"/>
  <c r="H74" i="1"/>
  <c r="S59" i="1"/>
  <c r="S75" i="1" s="1"/>
  <c r="Q60" i="1"/>
  <c r="T60" i="1"/>
  <c r="Q61" i="1"/>
  <c r="T61" i="1"/>
  <c r="Q62" i="1"/>
  <c r="T62" i="1"/>
  <c r="Q63" i="1"/>
  <c r="Y63" i="1"/>
  <c r="AD63" i="1"/>
  <c r="V64" i="1"/>
  <c r="W64" i="1"/>
  <c r="Y64" i="1"/>
  <c r="P73" i="1"/>
  <c r="Y67" i="1"/>
  <c r="P72" i="1" s="1"/>
  <c r="P74" i="1"/>
  <c r="AD64" i="1"/>
  <c r="AD69" i="1"/>
  <c r="S72" i="1" s="1"/>
  <c r="S74" i="1"/>
  <c r="Q65" i="1"/>
  <c r="T65" i="1"/>
  <c r="V65" i="1"/>
  <c r="W65" i="1"/>
  <c r="Y65" i="1"/>
  <c r="AA65" i="1"/>
  <c r="AB65" i="1"/>
  <c r="AD65" i="1"/>
  <c r="Q66" i="1"/>
  <c r="T66" i="1"/>
  <c r="V66" i="1"/>
  <c r="W66" i="1"/>
  <c r="Y66" i="1"/>
  <c r="AA66" i="1"/>
  <c r="P67" i="1"/>
  <c r="Q67" i="1"/>
  <c r="S67" i="1"/>
  <c r="T67" i="1"/>
  <c r="V67" i="1"/>
  <c r="W67" i="1"/>
  <c r="AD67" i="1"/>
  <c r="V68" i="1"/>
  <c r="W68" i="1"/>
  <c r="Y68" i="1"/>
  <c r="AA68" i="1"/>
  <c r="AB68" i="1"/>
  <c r="AD68" i="1"/>
  <c r="V69" i="1"/>
  <c r="AA69" i="1"/>
  <c r="AB69" i="1"/>
  <c r="V70" i="1"/>
  <c r="W70" i="1"/>
  <c r="Y70" i="1"/>
  <c r="AA70" i="1"/>
  <c r="AB70" i="1"/>
  <c r="AD70" i="1"/>
  <c r="V71" i="1"/>
  <c r="W71" i="1"/>
  <c r="Y71" i="1"/>
  <c r="AA71" i="1"/>
  <c r="Q72" i="1"/>
  <c r="T72" i="1"/>
  <c r="V72" i="1"/>
  <c r="W72" i="1"/>
  <c r="Y72" i="1"/>
  <c r="AA72" i="1"/>
  <c r="AB72" i="1"/>
  <c r="AD72" i="1"/>
  <c r="Q73" i="1"/>
  <c r="T73" i="1"/>
  <c r="W73" i="1"/>
  <c r="Y73" i="1"/>
  <c r="AA73" i="1"/>
  <c r="AB73" i="1"/>
  <c r="AD73" i="1"/>
  <c r="V74" i="1"/>
  <c r="W74" i="1"/>
  <c r="Y74" i="1"/>
  <c r="AA74" i="1"/>
  <c r="AB74" i="1"/>
  <c r="AD74" i="1"/>
  <c r="V75" i="1"/>
  <c r="W75" i="1"/>
  <c r="Y75" i="1"/>
  <c r="AA75" i="1"/>
  <c r="Q76" i="1"/>
  <c r="T76" i="1"/>
  <c r="V76" i="1"/>
  <c r="W76" i="1"/>
  <c r="Y76" i="1"/>
  <c r="AA76" i="1"/>
  <c r="AB76" i="1"/>
  <c r="AC76" i="1"/>
  <c r="AD76" i="1"/>
  <c r="AE76" i="1"/>
  <c r="Q77" i="1"/>
  <c r="T77" i="1"/>
  <c r="V77" i="1"/>
  <c r="W77" i="1"/>
  <c r="Y77" i="1"/>
  <c r="AA77" i="1"/>
  <c r="AB77" i="1"/>
  <c r="AC77" i="1"/>
  <c r="AD77" i="1"/>
  <c r="AE77" i="1"/>
  <c r="P78" i="1"/>
  <c r="Q78" i="1"/>
  <c r="S78" i="1"/>
  <c r="T78" i="1"/>
  <c r="V78" i="1"/>
  <c r="W78" i="1"/>
  <c r="Y78" i="1"/>
  <c r="AA78" i="1"/>
  <c r="AB78" i="1"/>
  <c r="AC78" i="1"/>
  <c r="AD78" i="1"/>
  <c r="AE78" i="1"/>
  <c r="Q79" i="1"/>
  <c r="T79" i="1"/>
  <c r="V79" i="1"/>
  <c r="W79" i="1"/>
  <c r="X79" i="1"/>
  <c r="Y79" i="1"/>
  <c r="Z79" i="1"/>
  <c r="AA79" i="1"/>
  <c r="AB79" i="1"/>
  <c r="AC79" i="1"/>
  <c r="AD79" i="1"/>
  <c r="AE79" i="1"/>
  <c r="V80" i="1"/>
  <c r="W80" i="1"/>
  <c r="X80" i="1"/>
  <c r="Y80" i="1"/>
  <c r="Z80" i="1"/>
  <c r="AA80" i="1"/>
  <c r="AB80" i="1"/>
  <c r="AC80" i="1"/>
  <c r="AD80" i="1"/>
  <c r="AE80" i="1"/>
  <c r="Q81" i="1"/>
  <c r="T81" i="1"/>
  <c r="V81" i="1"/>
  <c r="W81" i="1"/>
  <c r="X81" i="1"/>
  <c r="Y81" i="1"/>
  <c r="Z81" i="1"/>
  <c r="AA81" i="1"/>
  <c r="AB81" i="1"/>
  <c r="AC81" i="1"/>
  <c r="AD81" i="1"/>
  <c r="AE81" i="1"/>
  <c r="Q82" i="1"/>
  <c r="T82" i="1"/>
  <c r="V82" i="1"/>
  <c r="W82" i="1"/>
  <c r="X82" i="1"/>
  <c r="Y82" i="1"/>
  <c r="Z82" i="1"/>
  <c r="AA82" i="1"/>
  <c r="AB82" i="1"/>
  <c r="AC82" i="1"/>
  <c r="AD82" i="1"/>
  <c r="AE82" i="1"/>
  <c r="Q83" i="1"/>
  <c r="T83" i="1"/>
  <c r="F16" i="1" l="1"/>
  <c r="J25" i="1"/>
  <c r="P60" i="1"/>
  <c r="P61" i="1" s="1"/>
  <c r="P75" i="1"/>
  <c r="P76" i="1" s="1"/>
  <c r="AD75" i="1"/>
  <c r="V73" i="1"/>
  <c r="AD71" i="1"/>
  <c r="Y69" i="1"/>
  <c r="AD66" i="1"/>
  <c r="S62" i="1"/>
  <c r="AB67" i="1"/>
  <c r="AB64" i="1"/>
  <c r="S57" i="1"/>
  <c r="W69" i="1"/>
  <c r="P63" i="1"/>
  <c r="P77" i="1" l="1"/>
  <c r="S73" i="1"/>
  <c r="S60" i="1"/>
  <c r="S63" i="1" s="1"/>
  <c r="S61" i="1"/>
  <c r="X66" i="1"/>
  <c r="X71" i="1"/>
  <c r="X72" i="1"/>
  <c r="X75" i="1"/>
  <c r="X76" i="1"/>
  <c r="X77" i="1"/>
  <c r="X69" i="1"/>
  <c r="P64" i="1"/>
  <c r="P65" i="1" s="1"/>
  <c r="P66" i="1" s="1"/>
  <c r="X64" i="1"/>
  <c r="X65" i="1"/>
  <c r="X67" i="1"/>
  <c r="X70" i="1"/>
  <c r="X74" i="1"/>
  <c r="X78" i="1"/>
  <c r="X68" i="1"/>
  <c r="X73" i="1"/>
  <c r="S76" i="1" l="1"/>
  <c r="S77" i="1" s="1"/>
  <c r="AC68" i="1"/>
  <c r="AC72" i="1"/>
  <c r="AC73" i="1"/>
  <c r="AC75" i="1"/>
  <c r="AC69" i="1"/>
  <c r="AC65" i="1"/>
  <c r="S64" i="1"/>
  <c r="S65" i="1" s="1"/>
  <c r="S66" i="1" s="1"/>
  <c r="AC70" i="1"/>
  <c r="AC74" i="1"/>
  <c r="AC64" i="1"/>
  <c r="AC67" i="1"/>
  <c r="AC66" i="1"/>
  <c r="AC71" i="1"/>
  <c r="Z65" i="1"/>
  <c r="Z70" i="1"/>
  <c r="Z74" i="1"/>
  <c r="Z78" i="1"/>
  <c r="P81" i="1"/>
  <c r="Z68" i="1"/>
  <c r="Z66" i="1"/>
  <c r="Z71" i="1"/>
  <c r="Z72" i="1"/>
  <c r="Z75" i="1"/>
  <c r="Z76" i="1"/>
  <c r="Z77" i="1"/>
  <c r="P80" i="1"/>
  <c r="P79" i="1" s="1"/>
  <c r="P83" i="1" s="1"/>
  <c r="P82" i="1"/>
  <c r="Z64" i="1"/>
  <c r="Z67" i="1"/>
  <c r="Z69" i="1"/>
  <c r="Z73" i="1"/>
  <c r="S82" i="1" l="1"/>
  <c r="S80" i="1"/>
  <c r="AE72" i="1"/>
  <c r="AE73" i="1"/>
  <c r="AE75" i="1"/>
  <c r="AE65" i="1"/>
  <c r="AE70" i="1"/>
  <c r="AE74" i="1"/>
  <c r="AE68" i="1"/>
  <c r="S81" i="1"/>
  <c r="AE64" i="1"/>
  <c r="AE66" i="1"/>
  <c r="AE71" i="1"/>
  <c r="AE69" i="1"/>
  <c r="AE67" i="1"/>
  <c r="S79" i="1"/>
  <c r="S83" i="1" s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L24" authorId="0">
      <text>
        <r>
          <rPr>
            <sz val="8"/>
            <color indexed="81"/>
            <rFont val="Tahoma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<sst xmlns="http://schemas.openxmlformats.org/spreadsheetml/2006/main" count="213" uniqueCount="155">
  <si>
    <t xml:space="preserve">         META/LOG CONSTANTS</t>
  </si>
  <si>
    <t>METRIC CONVR</t>
  </si>
  <si>
    <t>VSHMAX</t>
  </si>
  <si>
    <t>PHIMIN</t>
  </si>
  <si>
    <t>SWMAX</t>
  </si>
  <si>
    <t>PRMmin</t>
  </si>
  <si>
    <t>Used</t>
  </si>
  <si>
    <t>English</t>
  </si>
  <si>
    <t xml:space="preserve"> Metric</t>
  </si>
  <si>
    <t>frac</t>
  </si>
  <si>
    <t>md</t>
  </si>
  <si>
    <t/>
  </si>
  <si>
    <t>E. R. Crain, P.Eng.</t>
  </si>
  <si>
    <t xml:space="preserve">  to</t>
  </si>
  <si>
    <t>Depthcut</t>
  </si>
  <si>
    <t>Start line#</t>
  </si>
  <si>
    <t>UNITS</t>
  </si>
  <si>
    <t>M</t>
  </si>
  <si>
    <t xml:space="preserve"> (MorE)</t>
  </si>
  <si>
    <t>DON'T MESS WITH THESE NUMBERS</t>
  </si>
  <si>
    <t>Top Depth</t>
  </si>
  <si>
    <t>Bottom Depth</t>
  </si>
  <si>
    <t>Shot/meter</t>
  </si>
  <si>
    <t>Treats</t>
  </si>
  <si>
    <t>Acid Wash</t>
  </si>
  <si>
    <t>TOTAL RECOVERY:</t>
  </si>
  <si>
    <t>GAS RATE     :</t>
  </si>
  <si>
    <t>OIL VISCOSITY :</t>
  </si>
  <si>
    <t>cp</t>
  </si>
  <si>
    <t>GAS VISCOSITY:</t>
  </si>
  <si>
    <t>OIL SHRINKAGE :</t>
  </si>
  <si>
    <t>GAS SHRINKAGE:</t>
  </si>
  <si>
    <t>FORMATION TEMP:</t>
  </si>
  <si>
    <t>feet</t>
  </si>
  <si>
    <t>us/ft</t>
  </si>
  <si>
    <t>psi</t>
  </si>
  <si>
    <t>GAS ON/OFF</t>
  </si>
  <si>
    <t>MID DEPTH</t>
  </si>
  <si>
    <t>PHIavg</t>
  </si>
  <si>
    <t>PERMavg</t>
  </si>
  <si>
    <t>Net Pay</t>
  </si>
  <si>
    <t>Mcf/d</t>
  </si>
  <si>
    <t>meters</t>
  </si>
  <si>
    <t>gm/cc</t>
  </si>
  <si>
    <t>us/m</t>
  </si>
  <si>
    <t>0=Oil,1=Gas</t>
  </si>
  <si>
    <t>Fnter this data from the META/LOG "ESP" Spreadsheet</t>
  </si>
  <si>
    <t>inches</t>
  </si>
  <si>
    <t>KPa</t>
  </si>
  <si>
    <t>'F</t>
  </si>
  <si>
    <t>bbl/d</t>
  </si>
  <si>
    <t>m3/d</t>
  </si>
  <si>
    <t>Kg/m3</t>
  </si>
  <si>
    <t>md-ft</t>
  </si>
  <si>
    <t>mm</t>
  </si>
  <si>
    <t>mcf</t>
  </si>
  <si>
    <t>'C</t>
  </si>
  <si>
    <t>$/mcf</t>
  </si>
  <si>
    <t>Metric</t>
  </si>
  <si>
    <t>bbl/psi</t>
  </si>
  <si>
    <t>md-m</t>
  </si>
  <si>
    <t>Horner method is for oil, water , or high rate gas tests. Ramey is for low rate gas only.</t>
  </si>
  <si>
    <t>MMcf</t>
  </si>
  <si>
    <t>bbl</t>
  </si>
  <si>
    <t>m3</t>
  </si>
  <si>
    <t xml:space="preserve"> Mcf/d</t>
  </si>
  <si>
    <t>$/bbl</t>
  </si>
  <si>
    <t>$/m3</t>
  </si>
  <si>
    <t>You must make the Horner or Ramey plot and pick two points that define the slope. See</t>
  </si>
  <si>
    <t>cu.ft.</t>
  </si>
  <si>
    <t>m3/KPa</t>
  </si>
  <si>
    <t>white coded cells in META/DST results area.</t>
  </si>
  <si>
    <t xml:space="preserve">  Gas</t>
  </si>
  <si>
    <t>1000bbl</t>
  </si>
  <si>
    <t>10^6m3</t>
  </si>
  <si>
    <t xml:space="preserve"> bbl/d</t>
  </si>
  <si>
    <t xml:space="preserve">  Oil</t>
  </si>
  <si>
    <t>10^3m3</t>
  </si>
  <si>
    <t>________________________</t>
  </si>
  <si>
    <t>______________________</t>
  </si>
  <si>
    <t>______________</t>
  </si>
  <si>
    <t>META/DST  PRESSURE  BUILDUP  DATA</t>
  </si>
  <si>
    <t>META/DST  FINAL  RESULTS</t>
  </si>
  <si>
    <t>INTERMEDIATE RESULTS</t>
  </si>
  <si>
    <t>*</t>
  </si>
  <si>
    <t>11-36-72-8W6</t>
  </si>
  <si>
    <t>DST NUMBER    :</t>
  </si>
  <si>
    <t>DST INTERVAL :</t>
  </si>
  <si>
    <t>DST NUMBER   :</t>
  </si>
  <si>
    <t xml:space="preserve">   TO :</t>
  </si>
  <si>
    <t xml:space="preserve">   INITIAL SHUT IN DATA</t>
  </si>
  <si>
    <t xml:space="preserve">    FINAL SHUT IN DATA</t>
  </si>
  <si>
    <t>INITIAL FLOW</t>
  </si>
  <si>
    <t>FINAL FLOW</t>
  </si>
  <si>
    <t xml:space="preserve">   FLOW TIME:</t>
  </si>
  <si>
    <t>min</t>
  </si>
  <si>
    <t xml:space="preserve">    FLOW TIME:</t>
  </si>
  <si>
    <t>SHUT IN PRESSURE:</t>
  </si>
  <si>
    <t>FLOWING PRESSURE:</t>
  </si>
  <si>
    <t xml:space="preserve">  TIME</t>
  </si>
  <si>
    <t>PRESSURE</t>
  </si>
  <si>
    <t>E HORNER</t>
  </si>
  <si>
    <t>SHUT IN TIME:</t>
  </si>
  <si>
    <t xml:space="preserve"> min</t>
  </si>
  <si>
    <t xml:space="preserve">   min</t>
  </si>
  <si>
    <t xml:space="preserve">   TIME</t>
  </si>
  <si>
    <t>FLOWING TIME:</t>
  </si>
  <si>
    <t xml:space="preserve"> </t>
  </si>
  <si>
    <t xml:space="preserve">   META/LOG HORNER ANALYSIS</t>
  </si>
  <si>
    <t>FOR OIL, WATER, OR HIGH GAS RATE RECOVERY ONLY</t>
  </si>
  <si>
    <t>PRESSURE AT START:</t>
  </si>
  <si>
    <t>******</t>
  </si>
  <si>
    <t>PRESSURE AT END:</t>
  </si>
  <si>
    <t>LOG (T+DT)/DT AT START:</t>
  </si>
  <si>
    <t>INITIAL SHUT IN</t>
  </si>
  <si>
    <t>FINAL SHUT IN</t>
  </si>
  <si>
    <t>LOG (T+DT)/DT AT END:</t>
  </si>
  <si>
    <t>Horner Time</t>
  </si>
  <si>
    <t xml:space="preserve"> Pressure</t>
  </si>
  <si>
    <t>Slope</t>
  </si>
  <si>
    <t>Pres^2</t>
  </si>
  <si>
    <t>Pressure</t>
  </si>
  <si>
    <t>SLOPE OF LINE :</t>
  </si>
  <si>
    <t>EXTRAPOLATED SHUT IN PRESS:</t>
  </si>
  <si>
    <t>FLOW RATE:</t>
  </si>
  <si>
    <t>UNDAMAGED FLOW CAPACITY (kh):</t>
  </si>
  <si>
    <t>ESTIMATED DAMAGE RATIO:</t>
  </si>
  <si>
    <t>OIL PRODUCTIVITY INDEX:</t>
  </si>
  <si>
    <t>OIL STABLE PRODUCTION RATE:</t>
  </si>
  <si>
    <t>GAS ABSOLUTE OPEN FLOW:</t>
  </si>
  <si>
    <t xml:space="preserve">   META/LOG RAMEY ANALYSIS</t>
  </si>
  <si>
    <t xml:space="preserve">  FOR GAS RECOVERY ONLY, AT LOW PRESSURES (Pf &lt; 14000 KPa ~ 2000 psi)</t>
  </si>
  <si>
    <t>x1000</t>
  </si>
  <si>
    <t>PRESSURE^2 AT START:</t>
  </si>
  <si>
    <t>PRESSURE^2 AT END (/1000):</t>
  </si>
  <si>
    <t>EXTRAPOLATED SHUT IN PRES:</t>
  </si>
  <si>
    <t>MINIMUM ABSOLUTE OPEN FLOW:</t>
  </si>
  <si>
    <t>MAXIMUM ABSOLUTE OPEN FLOW:</t>
  </si>
  <si>
    <t>Plots converted from Lotus 1-2-3 by David Arnott - thank you, David.</t>
  </si>
  <si>
    <t xml:space="preserve">     ANALYSIS  PARAMETERS</t>
  </si>
  <si>
    <t>c. E. R. Crain, P.Eng. 2018</t>
  </si>
  <si>
    <t>Read Terms of Use</t>
  </si>
  <si>
    <t>Well Name</t>
  </si>
  <si>
    <t>PCP Beaverlodge 11-36</t>
  </si>
  <si>
    <t>Analyst</t>
  </si>
  <si>
    <t>Field / Zone</t>
  </si>
  <si>
    <t>Beaverlodge / Halfway</t>
  </si>
  <si>
    <t>Date</t>
  </si>
  <si>
    <t xml:space="preserve"> 2018-09-27</t>
  </si>
  <si>
    <t xml:space="preserve">Perf/DST #  </t>
  </si>
  <si>
    <t xml:space="preserve">               DRILL STEM TEST ANALYSIS - HORNER and RAMEY PLOTS</t>
  </si>
  <si>
    <t xml:space="preserve">                    A Knowledge Based System For Formation Evaluation     </t>
  </si>
  <si>
    <t xml:space="preserve">                           META/LOG "DST"</t>
  </si>
  <si>
    <t>REFERENCES:</t>
  </si>
  <si>
    <t>www.spec2000.ney/16-dst.htm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</si>
</sst>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)"/>
    <numFmt numFmtId="165" formatCode="0_)"/>
    <numFmt numFmtId="166" formatCode="0.0_)"/>
    <numFmt numFmtId="167" formatCode="hh:mm_)"/>
    <numFmt numFmtId="168" formatCode="0.000_)"/>
    <numFmt numFmtId="169" formatCode="0.0000_)"/>
  </numFmts>
  <fonts count="17">
    <font>
      <sz val="10"/>
      <name val="COUR"/>
    </font>
    <font>
      <b/>
      <sz val="24"/>
      <color indexed="13"/>
      <name val="Times New Roman"/>
    </font>
    <font>
      <b/>
      <sz val="12"/>
      <color indexed="8"/>
      <name val="COUR"/>
    </font>
    <font>
      <b/>
      <sz val="24"/>
      <color indexed="10"/>
      <name val="Times New Roman"/>
    </font>
    <font>
      <sz val="10"/>
      <name val="COUR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8"/>
      <name val="Arial"/>
    </font>
    <font>
      <b/>
      <sz val="10"/>
      <color indexed="8"/>
      <name val="COUR"/>
    </font>
    <font>
      <b/>
      <sz val="10"/>
      <name val="Arial"/>
    </font>
    <font>
      <sz val="8"/>
      <color indexed="81"/>
      <name val="Tahoma"/>
    </font>
    <font>
      <sz val="8"/>
      <name val="COUR"/>
    </font>
    <font>
      <u/>
      <sz val="10"/>
      <color theme="10"/>
      <name val="Arial"/>
    </font>
    <font>
      <b/>
      <sz val="10"/>
      <color indexed="8"/>
      <name val="Arial"/>
      <family val="2"/>
    </font>
    <font>
      <b/>
      <sz val="24"/>
      <color indexed="13"/>
      <name val="Times New Roman"/>
      <family val="1"/>
    </font>
    <font>
      <u/>
      <sz val="10"/>
      <color theme="10"/>
      <name val="Arial"/>
      <family val="2"/>
    </font>
    <font>
      <sz val="10"/>
      <color indexed="8"/>
      <name val="COU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13"/>
        <bgColor indexed="13"/>
      </patternFill>
    </fill>
    <fill>
      <patternFill patternType="solid">
        <fgColor indexed="15"/>
        <bgColor indexed="15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</fills>
  <borders count="8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medium">
        <color indexed="8"/>
      </right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medium">
        <color indexed="8"/>
      </top>
      <bottom style="thin">
        <color indexed="15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8"/>
      </left>
      <right style="medium">
        <color indexed="22"/>
      </right>
      <top style="medium">
        <color indexed="8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8"/>
      </top>
      <bottom style="medium">
        <color indexed="22"/>
      </bottom>
      <diagonal/>
    </border>
    <border>
      <left/>
      <right style="medium">
        <color indexed="22"/>
      </right>
      <top style="medium">
        <color indexed="8"/>
      </top>
      <bottom style="medium">
        <color indexed="22"/>
      </bottom>
      <diagonal/>
    </border>
    <border>
      <left style="medium">
        <color indexed="22"/>
      </left>
      <right style="medium">
        <color indexed="8"/>
      </right>
      <top style="medium">
        <color indexed="8"/>
      </top>
      <bottom style="medium">
        <color indexed="22"/>
      </bottom>
      <diagonal/>
    </border>
    <border>
      <left/>
      <right/>
      <top style="medium">
        <color indexed="8"/>
      </top>
      <bottom style="thin">
        <color indexed="15"/>
      </bottom>
      <diagonal/>
    </border>
    <border>
      <left/>
      <right style="medium">
        <color indexed="8"/>
      </right>
      <top style="medium">
        <color indexed="8"/>
      </top>
      <bottom style="thin">
        <color indexed="15"/>
      </bottom>
      <diagonal/>
    </border>
    <border>
      <left style="medium">
        <color indexed="8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22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 style="medium">
        <color indexed="8"/>
      </left>
      <right style="medium">
        <color indexed="22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8"/>
      </bottom>
      <diagonal/>
    </border>
    <border>
      <left/>
      <right style="medium">
        <color indexed="22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8"/>
      </left>
      <right style="thin">
        <color indexed="15"/>
      </right>
      <top style="medium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medium">
        <color indexed="8"/>
      </top>
      <bottom style="thin">
        <color indexed="15"/>
      </bottom>
      <diagonal/>
    </border>
    <border>
      <left style="thin">
        <color indexed="15"/>
      </left>
      <right style="medium">
        <color indexed="8"/>
      </right>
      <top style="medium">
        <color indexed="8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medium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medium">
        <color indexed="8"/>
      </left>
      <right style="thin">
        <color indexed="15"/>
      </right>
      <top style="thin">
        <color indexed="15"/>
      </top>
      <bottom style="medium">
        <color indexed="8"/>
      </bottom>
      <diagonal/>
    </border>
    <border>
      <left/>
      <right style="medium">
        <color indexed="8"/>
      </right>
      <top style="thin">
        <color indexed="15"/>
      </top>
      <bottom style="medium">
        <color indexed="8"/>
      </bottom>
      <diagonal/>
    </border>
    <border>
      <left style="medium">
        <color indexed="8"/>
      </left>
      <right style="medium">
        <color indexed="15"/>
      </right>
      <top style="medium">
        <color indexed="8"/>
      </top>
      <bottom style="medium">
        <color indexed="8"/>
      </bottom>
      <diagonal/>
    </border>
    <border>
      <left style="medium">
        <color indexed="15"/>
      </left>
      <right style="medium">
        <color indexed="15"/>
      </right>
      <top style="medium">
        <color indexed="8"/>
      </top>
      <bottom style="medium">
        <color indexed="8"/>
      </bottom>
      <diagonal/>
    </border>
    <border>
      <left/>
      <right style="medium">
        <color indexed="15"/>
      </right>
      <top style="medium">
        <color indexed="8"/>
      </top>
      <bottom style="medium">
        <color indexed="8"/>
      </bottom>
      <diagonal/>
    </border>
    <border>
      <left style="medium">
        <color indexed="15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5"/>
      </right>
      <top style="medium">
        <color indexed="8"/>
      </top>
      <bottom style="medium">
        <color indexed="8"/>
      </bottom>
      <diagonal/>
    </border>
    <border>
      <left style="thin">
        <color indexed="15"/>
      </left>
      <right style="medium">
        <color indexed="8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5"/>
      </right>
      <top/>
      <bottom style="thin">
        <color indexed="15"/>
      </bottom>
      <diagonal/>
    </border>
    <border>
      <left/>
      <right style="medium">
        <color indexed="8"/>
      </right>
      <top/>
      <bottom style="thin">
        <color indexed="15"/>
      </bottom>
      <diagonal/>
    </border>
    <border>
      <left/>
      <right style="thin">
        <color indexed="15"/>
      </right>
      <top/>
      <bottom style="thin">
        <color indexed="15"/>
      </bottom>
      <diagonal/>
    </border>
    <border>
      <left style="thin">
        <color indexed="15"/>
      </left>
      <right style="thin">
        <color indexed="15"/>
      </right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 style="medium">
        <color indexed="8"/>
      </left>
      <right style="thin">
        <color indexed="15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15"/>
      </top>
      <bottom style="medium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auto="1"/>
      </bottom>
      <diagonal/>
    </border>
    <border>
      <left/>
      <right/>
      <top style="thick">
        <color indexed="8"/>
      </top>
      <bottom style="thick">
        <color auto="1"/>
      </bottom>
      <diagonal/>
    </border>
    <border>
      <left/>
      <right style="thick">
        <color auto="1"/>
      </right>
      <top style="thick">
        <color indexed="8"/>
      </top>
      <bottom style="thick">
        <color auto="1"/>
      </bottom>
      <diagonal/>
    </border>
    <border>
      <left style="thick">
        <color indexed="8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indexed="8"/>
      </top>
      <bottom/>
      <diagonal/>
    </border>
    <border>
      <left style="thick">
        <color auto="1"/>
      </left>
      <right/>
      <top/>
      <bottom style="medium">
        <color indexed="8"/>
      </bottom>
      <diagonal/>
    </border>
    <border>
      <left style="thick">
        <color auto="1"/>
      </left>
      <right/>
      <top style="medium">
        <color indexed="8"/>
      </top>
      <bottom style="medium">
        <color indexed="8"/>
      </bottom>
      <diagonal/>
    </border>
    <border>
      <left style="thick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auto="1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ck">
        <color auto="1"/>
      </left>
      <right/>
      <top style="thin">
        <color indexed="10"/>
      </top>
      <bottom/>
      <diagonal/>
    </border>
    <border>
      <left style="thick">
        <color auto="1"/>
      </left>
      <right/>
      <top/>
      <bottom style="thin">
        <color indexed="10"/>
      </bottom>
      <diagonal/>
    </border>
    <border>
      <left style="thick">
        <color auto="1"/>
      </left>
      <right style="medium">
        <color indexed="22"/>
      </right>
      <top style="medium">
        <color indexed="8"/>
      </top>
      <bottom style="medium">
        <color indexed="22"/>
      </bottom>
      <diagonal/>
    </border>
    <border>
      <left style="thick">
        <color auto="1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auto="1"/>
      </left>
      <right style="medium">
        <color indexed="22"/>
      </right>
      <top style="medium">
        <color indexed="22"/>
      </top>
      <bottom style="medium">
        <color indexed="8"/>
      </bottom>
      <diagonal/>
    </border>
    <border>
      <left style="thick">
        <color auto="1"/>
      </left>
      <right style="thin">
        <color indexed="15"/>
      </right>
      <top style="medium">
        <color indexed="8"/>
      </top>
      <bottom style="thin">
        <color indexed="15"/>
      </bottom>
      <diagonal/>
    </border>
    <border>
      <left style="thick">
        <color auto="1"/>
      </left>
      <right style="medium">
        <color indexed="8"/>
      </right>
      <top style="thin">
        <color indexed="15"/>
      </top>
      <bottom style="thin">
        <color indexed="15"/>
      </bottom>
      <diagonal/>
    </border>
    <border>
      <left style="thick">
        <color auto="1"/>
      </left>
      <right style="medium">
        <color indexed="8"/>
      </right>
      <top/>
      <bottom style="thin">
        <color indexed="15"/>
      </bottom>
      <diagonal/>
    </border>
    <border>
      <left/>
      <right/>
      <top style="thick">
        <color auto="1"/>
      </top>
      <bottom style="thick">
        <color indexed="8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164" fontId="0" fillId="0" borderId="0"/>
    <xf numFmtId="0" fontId="12" fillId="0" borderId="0" applyNumberFormat="0" applyFill="0" applyBorder="0" applyAlignment="0" applyProtection="0"/>
  </cellStyleXfs>
  <cellXfs count="199">
    <xf numFmtId="164" fontId="0" fillId="0" borderId="0" xfId="0"/>
    <xf numFmtId="164" fontId="2" fillId="3" borderId="4" xfId="0" applyNumberFormat="1" applyFont="1" applyFill="1" applyBorder="1" applyAlignment="1" applyProtection="1">
      <alignment horizontal="right"/>
    </xf>
    <xf numFmtId="164" fontId="3" fillId="3" borderId="0" xfId="0" applyNumberFormat="1" applyFont="1" applyFill="1" applyProtection="1"/>
    <xf numFmtId="164" fontId="3" fillId="3" borderId="5" xfId="0" applyNumberFormat="1" applyFont="1" applyFill="1" applyBorder="1" applyProtection="1"/>
    <xf numFmtId="164" fontId="3" fillId="4" borderId="0" xfId="0" applyNumberFormat="1" applyFont="1" applyFill="1" applyAlignment="1" applyProtection="1">
      <alignment horizontal="right"/>
    </xf>
    <xf numFmtId="164" fontId="2" fillId="4" borderId="0" xfId="0" applyFont="1" applyFill="1" applyProtection="1"/>
    <xf numFmtId="164" fontId="4" fillId="0" borderId="0" xfId="0" applyFont="1" applyProtection="1"/>
    <xf numFmtId="164" fontId="2" fillId="3" borderId="0" xfId="0" applyNumberFormat="1" applyFont="1" applyFill="1" applyProtection="1"/>
    <xf numFmtId="164" fontId="2" fillId="3" borderId="5" xfId="0" applyNumberFormat="1" applyFont="1" applyFill="1" applyBorder="1" applyProtection="1"/>
    <xf numFmtId="164" fontId="2" fillId="4" borderId="0" xfId="0" applyNumberFormat="1" applyFont="1" applyFill="1" applyProtection="1"/>
    <xf numFmtId="164" fontId="7" fillId="3" borderId="4" xfId="0" applyNumberFormat="1" applyFont="1" applyFill="1" applyBorder="1" applyAlignment="1" applyProtection="1">
      <alignment horizontal="right"/>
    </xf>
    <xf numFmtId="164" fontId="7" fillId="3" borderId="0" xfId="0" applyNumberFormat="1" applyFont="1" applyFill="1" applyProtection="1"/>
    <xf numFmtId="164" fontId="7" fillId="3" borderId="0" xfId="0" applyNumberFormat="1" applyFont="1" applyFill="1" applyAlignment="1" applyProtection="1">
      <alignment horizontal="right"/>
    </xf>
    <xf numFmtId="164" fontId="7" fillId="3" borderId="5" xfId="0" applyNumberFormat="1" applyFont="1" applyFill="1" applyBorder="1" applyAlignment="1" applyProtection="1">
      <alignment horizontal="right"/>
    </xf>
    <xf numFmtId="164" fontId="7" fillId="4" borderId="0" xfId="0" applyNumberFormat="1" applyFont="1" applyFill="1" applyAlignment="1" applyProtection="1">
      <alignment horizontal="right"/>
    </xf>
    <xf numFmtId="164" fontId="7" fillId="4" borderId="0" xfId="0" applyFont="1" applyFill="1" applyProtection="1"/>
    <xf numFmtId="164" fontId="2" fillId="5" borderId="6" xfId="0" applyNumberFormat="1" applyFont="1" applyFill="1" applyBorder="1" applyProtection="1"/>
    <xf numFmtId="164" fontId="2" fillId="5" borderId="7" xfId="0" applyNumberFormat="1" applyFont="1" applyFill="1" applyBorder="1" applyProtection="1"/>
    <xf numFmtId="164" fontId="7" fillId="3" borderId="8" xfId="0" applyNumberFormat="1" applyFont="1" applyFill="1" applyBorder="1" applyAlignment="1" applyProtection="1">
      <alignment horizontal="right"/>
    </xf>
    <xf numFmtId="164" fontId="7" fillId="3" borderId="9" xfId="0" applyNumberFormat="1" applyFont="1" applyFill="1" applyBorder="1" applyProtection="1"/>
    <xf numFmtId="164" fontId="7" fillId="3" borderId="9" xfId="0" applyNumberFormat="1" applyFont="1" applyFill="1" applyBorder="1" applyAlignment="1" applyProtection="1">
      <alignment horizontal="right"/>
    </xf>
    <xf numFmtId="164" fontId="7" fillId="3" borderId="10" xfId="0" applyNumberFormat="1" applyFont="1" applyFill="1" applyBorder="1" applyAlignment="1" applyProtection="1">
      <alignment horizontal="right"/>
    </xf>
    <xf numFmtId="164" fontId="8" fillId="4" borderId="0" xfId="0" applyNumberFormat="1" applyFont="1" applyFill="1" applyProtection="1"/>
    <xf numFmtId="164" fontId="8" fillId="4" borderId="5" xfId="0" applyNumberFormat="1" applyFont="1" applyFill="1" applyBorder="1" applyProtection="1"/>
    <xf numFmtId="164" fontId="7" fillId="5" borderId="1" xfId="0" applyNumberFormat="1" applyFont="1" applyFill="1" applyBorder="1" applyAlignment="1" applyProtection="1">
      <alignment horizontal="right"/>
    </xf>
    <xf numFmtId="164" fontId="7" fillId="5" borderId="2" xfId="0" applyNumberFormat="1" applyFont="1" applyFill="1" applyBorder="1" applyProtection="1"/>
    <xf numFmtId="164" fontId="7" fillId="5" borderId="3" xfId="0" applyNumberFormat="1" applyFont="1" applyFill="1" applyBorder="1" applyProtection="1"/>
    <xf numFmtId="164" fontId="7" fillId="5" borderId="4" xfId="0" applyNumberFormat="1" applyFont="1" applyFill="1" applyBorder="1" applyAlignment="1" applyProtection="1">
      <alignment horizontal="right"/>
    </xf>
    <xf numFmtId="164" fontId="7" fillId="5" borderId="0" xfId="0" applyNumberFormat="1" applyFont="1" applyFill="1" applyProtection="1"/>
    <xf numFmtId="164" fontId="7" fillId="5" borderId="5" xfId="0" applyNumberFormat="1" applyFont="1" applyFill="1" applyBorder="1" applyProtection="1"/>
    <xf numFmtId="166" fontId="7" fillId="5" borderId="0" xfId="0" applyNumberFormat="1" applyFont="1" applyFill="1" applyProtection="1"/>
    <xf numFmtId="165" fontId="7" fillId="5" borderId="0" xfId="0" applyNumberFormat="1" applyFont="1" applyFill="1" applyProtection="1"/>
    <xf numFmtId="166" fontId="8" fillId="6" borderId="11" xfId="0" applyNumberFormat="1" applyFont="1" applyFill="1" applyBorder="1" applyProtection="1">
      <protection locked="0"/>
    </xf>
    <xf numFmtId="164" fontId="8" fillId="4" borderId="9" xfId="0" applyNumberFormat="1" applyFont="1" applyFill="1" applyBorder="1" applyProtection="1"/>
    <xf numFmtId="164" fontId="8" fillId="4" borderId="9" xfId="0" applyNumberFormat="1" applyFont="1" applyFill="1" applyBorder="1" applyProtection="1">
      <protection locked="0"/>
    </xf>
    <xf numFmtId="164" fontId="8" fillId="4" borderId="10" xfId="0" applyNumberFormat="1" applyFont="1" applyFill="1" applyBorder="1" applyProtection="1"/>
    <xf numFmtId="164" fontId="8" fillId="4" borderId="2" xfId="0" applyNumberFormat="1" applyFont="1" applyFill="1" applyBorder="1" applyProtection="1"/>
    <xf numFmtId="164" fontId="8" fillId="4" borderId="3" xfId="0" applyNumberFormat="1" applyFont="1" applyFill="1" applyBorder="1" applyProtection="1"/>
    <xf numFmtId="164" fontId="8" fillId="4" borderId="0" xfId="0" applyNumberFormat="1" applyFont="1" applyFill="1" applyAlignment="1" applyProtection="1">
      <alignment horizontal="right"/>
    </xf>
    <xf numFmtId="165" fontId="8" fillId="6" borderId="11" xfId="0" applyNumberFormat="1" applyFont="1" applyFill="1" applyBorder="1" applyProtection="1">
      <protection locked="0"/>
    </xf>
    <xf numFmtId="164" fontId="8" fillId="6" borderId="11" xfId="0" applyNumberFormat="1" applyFont="1" applyFill="1" applyBorder="1" applyProtection="1">
      <protection locked="0"/>
    </xf>
    <xf numFmtId="164" fontId="7" fillId="4" borderId="12" xfId="0" applyFont="1" applyFill="1" applyBorder="1" applyProtection="1"/>
    <xf numFmtId="164" fontId="7" fillId="4" borderId="13" xfId="0" applyFont="1" applyFill="1" applyBorder="1" applyProtection="1"/>
    <xf numFmtId="166" fontId="7" fillId="6" borderId="11" xfId="0" applyNumberFormat="1" applyFont="1" applyFill="1" applyBorder="1" applyProtection="1">
      <protection locked="0"/>
    </xf>
    <xf numFmtId="164" fontId="7" fillId="4" borderId="14" xfId="0" applyFont="1" applyFill="1" applyBorder="1" applyProtection="1"/>
    <xf numFmtId="165" fontId="7" fillId="6" borderId="11" xfId="0" applyNumberFormat="1" applyFont="1" applyFill="1" applyBorder="1" applyProtection="1">
      <protection locked="0"/>
    </xf>
    <xf numFmtId="168" fontId="7" fillId="6" borderId="11" xfId="0" applyNumberFormat="1" applyFont="1" applyFill="1" applyBorder="1" applyProtection="1">
      <protection locked="0"/>
    </xf>
    <xf numFmtId="164" fontId="7" fillId="6" borderId="11" xfId="0" applyFont="1" applyFill="1" applyBorder="1" applyProtection="1">
      <protection locked="0"/>
    </xf>
    <xf numFmtId="164" fontId="7" fillId="4" borderId="15" xfId="0" applyFont="1" applyFill="1" applyBorder="1" applyProtection="1"/>
    <xf numFmtId="164" fontId="7" fillId="5" borderId="0" xfId="0" applyNumberFormat="1" applyFont="1" applyFill="1" applyAlignment="1" applyProtection="1">
      <alignment horizontal="right"/>
    </xf>
    <xf numFmtId="168" fontId="8" fillId="6" borderId="11" xfId="0" applyNumberFormat="1" applyFont="1" applyFill="1" applyBorder="1" applyProtection="1">
      <protection locked="0"/>
    </xf>
    <xf numFmtId="164" fontId="7" fillId="5" borderId="0" xfId="0" applyNumberFormat="1" applyFont="1" applyFill="1" applyProtection="1">
      <protection locked="0"/>
    </xf>
    <xf numFmtId="164" fontId="7" fillId="5" borderId="5" xfId="0" applyNumberFormat="1" applyFont="1" applyFill="1" applyBorder="1" applyProtection="1">
      <protection locked="0"/>
    </xf>
    <xf numFmtId="164" fontId="7" fillId="4" borderId="0" xfId="0" applyNumberFormat="1" applyFont="1" applyFill="1" applyProtection="1"/>
    <xf numFmtId="164" fontId="8" fillId="3" borderId="16" xfId="0" applyNumberFormat="1" applyFont="1" applyFill="1" applyBorder="1" applyAlignment="1" applyProtection="1">
      <alignment horizontal="left"/>
    </xf>
    <xf numFmtId="164" fontId="8" fillId="3" borderId="17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Alignment="1" applyProtection="1">
      <alignment horizontal="left"/>
    </xf>
    <xf numFmtId="164" fontId="8" fillId="3" borderId="18" xfId="0" applyNumberFormat="1" applyFont="1" applyFill="1" applyBorder="1" applyAlignment="1" applyProtection="1">
      <alignment horizontal="right"/>
    </xf>
    <xf numFmtId="164" fontId="8" fillId="3" borderId="19" xfId="0" applyNumberFormat="1" applyFont="1" applyFill="1" applyBorder="1" applyAlignment="1" applyProtection="1">
      <alignment horizontal="left"/>
    </xf>
    <xf numFmtId="164" fontId="8" fillId="3" borderId="20" xfId="0" applyNumberFormat="1" applyFont="1" applyFill="1" applyBorder="1" applyAlignment="1" applyProtection="1">
      <alignment horizontal="right"/>
    </xf>
    <xf numFmtId="164" fontId="7" fillId="5" borderId="4" xfId="0" applyNumberFormat="1" applyFont="1" applyFill="1" applyBorder="1" applyProtection="1"/>
    <xf numFmtId="164" fontId="8" fillId="4" borderId="0" xfId="0" applyNumberFormat="1" applyFont="1" applyFill="1" applyAlignment="1" applyProtection="1">
      <alignment horizontal="left"/>
    </xf>
    <xf numFmtId="164" fontId="2" fillId="5" borderId="2" xfId="0" applyNumberFormat="1" applyFont="1" applyFill="1" applyBorder="1" applyProtection="1"/>
    <xf numFmtId="164" fontId="2" fillId="5" borderId="3" xfId="0" applyNumberFormat="1" applyFont="1" applyFill="1" applyBorder="1" applyProtection="1"/>
    <xf numFmtId="164" fontId="2" fillId="5" borderId="1" xfId="0" applyNumberFormat="1" applyFont="1" applyFill="1" applyBorder="1" applyProtection="1"/>
    <xf numFmtId="165" fontId="2" fillId="5" borderId="2" xfId="0" applyNumberFormat="1" applyFont="1" applyFill="1" applyBorder="1" applyProtection="1"/>
    <xf numFmtId="164" fontId="2" fillId="5" borderId="4" xfId="0" applyNumberFormat="1" applyFont="1" applyFill="1" applyBorder="1" applyProtection="1"/>
    <xf numFmtId="164" fontId="2" fillId="5" borderId="0" xfId="0" applyNumberFormat="1" applyFont="1" applyFill="1" applyProtection="1"/>
    <xf numFmtId="164" fontId="2" fillId="5" borderId="5" xfId="0" applyNumberFormat="1" applyFont="1" applyFill="1" applyBorder="1" applyProtection="1"/>
    <xf numFmtId="164" fontId="2" fillId="5" borderId="10" xfId="0" applyNumberFormat="1" applyFont="1" applyFill="1" applyBorder="1" applyProtection="1"/>
    <xf numFmtId="164" fontId="7" fillId="5" borderId="21" xfId="0" applyFont="1" applyFill="1" applyBorder="1" applyProtection="1"/>
    <xf numFmtId="164" fontId="7" fillId="5" borderId="22" xfId="0" applyFont="1" applyFill="1" applyBorder="1" applyProtection="1"/>
    <xf numFmtId="164" fontId="7" fillId="5" borderId="23" xfId="0" applyFont="1" applyFill="1" applyBorder="1" applyProtection="1"/>
    <xf numFmtId="164" fontId="7" fillId="5" borderId="24" xfId="0" applyFont="1" applyFill="1" applyBorder="1" applyProtection="1"/>
    <xf numFmtId="164" fontId="7" fillId="4" borderId="25" xfId="0" applyFont="1" applyFill="1" applyBorder="1" applyProtection="1"/>
    <xf numFmtId="164" fontId="7" fillId="4" borderId="26" xfId="0" applyFont="1" applyFill="1" applyBorder="1" applyProtection="1"/>
    <xf numFmtId="164" fontId="4" fillId="0" borderId="5" xfId="0" applyFont="1" applyBorder="1" applyProtection="1"/>
    <xf numFmtId="164" fontId="7" fillId="5" borderId="27" xfId="0" applyFont="1" applyFill="1" applyBorder="1" applyProtection="1"/>
    <xf numFmtId="164" fontId="7" fillId="5" borderId="28" xfId="0" applyFont="1" applyFill="1" applyBorder="1" applyProtection="1"/>
    <xf numFmtId="165" fontId="7" fillId="5" borderId="28" xfId="0" applyNumberFormat="1" applyFont="1" applyFill="1" applyBorder="1" applyAlignment="1" applyProtection="1">
      <alignment horizontal="left"/>
      <protection locked="0"/>
    </xf>
    <xf numFmtId="164" fontId="7" fillId="5" borderId="29" xfId="0" applyFont="1" applyFill="1" applyBorder="1" applyProtection="1"/>
    <xf numFmtId="166" fontId="7" fillId="5" borderId="28" xfId="0" applyNumberFormat="1" applyFont="1" applyFill="1" applyBorder="1" applyProtection="1">
      <protection locked="0"/>
    </xf>
    <xf numFmtId="164" fontId="7" fillId="5" borderId="30" xfId="0" applyFont="1" applyFill="1" applyBorder="1" applyProtection="1"/>
    <xf numFmtId="165" fontId="7" fillId="5" borderId="28" xfId="0" applyNumberFormat="1" applyFont="1" applyFill="1" applyBorder="1" applyAlignment="1" applyProtection="1">
      <alignment horizontal="left"/>
    </xf>
    <xf numFmtId="166" fontId="7" fillId="5" borderId="28" xfId="0" applyNumberFormat="1" applyFont="1" applyFill="1" applyBorder="1" applyProtection="1"/>
    <xf numFmtId="164" fontId="7" fillId="4" borderId="31" xfId="0" applyFont="1" applyFill="1" applyBorder="1" applyProtection="1"/>
    <xf numFmtId="164" fontId="7" fillId="5" borderId="32" xfId="0" applyFont="1" applyFill="1" applyBorder="1" applyProtection="1"/>
    <xf numFmtId="164" fontId="7" fillId="5" borderId="33" xfId="0" applyFont="1" applyFill="1" applyBorder="1" applyProtection="1"/>
    <xf numFmtId="164" fontId="7" fillId="5" borderId="34" xfId="0" applyFont="1" applyFill="1" applyBorder="1" applyProtection="1"/>
    <xf numFmtId="166" fontId="7" fillId="5" borderId="33" xfId="0" applyNumberFormat="1" applyFont="1" applyFill="1" applyBorder="1" applyProtection="1">
      <protection locked="0"/>
    </xf>
    <xf numFmtId="164" fontId="7" fillId="5" borderId="35" xfId="0" applyFont="1" applyFill="1" applyBorder="1" applyProtection="1"/>
    <xf numFmtId="166" fontId="7" fillId="5" borderId="33" xfId="0" applyNumberFormat="1" applyFont="1" applyFill="1" applyBorder="1" applyProtection="1"/>
    <xf numFmtId="164" fontId="7" fillId="4" borderId="36" xfId="0" applyFont="1" applyFill="1" applyBorder="1" applyProtection="1"/>
    <xf numFmtId="164" fontId="4" fillId="0" borderId="2" xfId="0" applyFont="1" applyBorder="1" applyProtection="1"/>
    <xf numFmtId="164" fontId="7" fillId="4" borderId="37" xfId="0" applyFont="1" applyFill="1" applyBorder="1" applyProtection="1"/>
    <xf numFmtId="164" fontId="7" fillId="4" borderId="37" xfId="0" applyFont="1" applyFill="1" applyBorder="1" applyProtection="1">
      <protection locked="0"/>
    </xf>
    <xf numFmtId="164" fontId="7" fillId="4" borderId="38" xfId="0" applyFont="1" applyFill="1" applyBorder="1" applyProtection="1"/>
    <xf numFmtId="164" fontId="7" fillId="4" borderId="39" xfId="0" applyFont="1" applyFill="1" applyBorder="1" applyProtection="1"/>
    <xf numFmtId="165" fontId="7" fillId="4" borderId="40" xfId="0" applyNumberFormat="1" applyFont="1" applyFill="1" applyBorder="1" applyProtection="1"/>
    <xf numFmtId="165" fontId="7" fillId="4" borderId="14" xfId="0" applyNumberFormat="1" applyFont="1" applyFill="1" applyBorder="1" applyProtection="1"/>
    <xf numFmtId="164" fontId="7" fillId="4" borderId="40" xfId="0" applyFont="1" applyFill="1" applyBorder="1" applyProtection="1"/>
    <xf numFmtId="164" fontId="7" fillId="4" borderId="40" xfId="0" applyNumberFormat="1" applyFont="1" applyFill="1" applyBorder="1" applyProtection="1"/>
    <xf numFmtId="164" fontId="7" fillId="4" borderId="41" xfId="0" applyFont="1" applyFill="1" applyBorder="1" applyProtection="1"/>
    <xf numFmtId="164" fontId="7" fillId="4" borderId="42" xfId="0" applyFont="1" applyFill="1" applyBorder="1" applyProtection="1"/>
    <xf numFmtId="164" fontId="7" fillId="5" borderId="43" xfId="0" applyFont="1" applyFill="1" applyBorder="1" applyProtection="1"/>
    <xf numFmtId="164" fontId="7" fillId="5" borderId="44" xfId="0" applyFont="1" applyFill="1" applyBorder="1" applyProtection="1"/>
    <xf numFmtId="164" fontId="7" fillId="5" borderId="45" xfId="0" applyFont="1" applyFill="1" applyBorder="1" applyProtection="1"/>
    <xf numFmtId="164" fontId="7" fillId="5" borderId="46" xfId="0" applyFont="1" applyFill="1" applyBorder="1" applyProtection="1"/>
    <xf numFmtId="165" fontId="7" fillId="6" borderId="7" xfId="0" applyNumberFormat="1" applyFont="1" applyFill="1" applyBorder="1" applyProtection="1">
      <protection locked="0"/>
    </xf>
    <xf numFmtId="164" fontId="7" fillId="4" borderId="47" xfId="0" applyFont="1" applyFill="1" applyBorder="1" applyProtection="1"/>
    <xf numFmtId="165" fontId="7" fillId="4" borderId="31" xfId="0" applyNumberFormat="1" applyFont="1" applyFill="1" applyBorder="1" applyProtection="1"/>
    <xf numFmtId="164" fontId="7" fillId="4" borderId="48" xfId="0" applyFont="1" applyFill="1" applyBorder="1" applyProtection="1">
      <protection locked="0"/>
    </xf>
    <xf numFmtId="165" fontId="7" fillId="4" borderId="49" xfId="0" applyNumberFormat="1" applyFont="1" applyFill="1" applyBorder="1" applyProtection="1"/>
    <xf numFmtId="168" fontId="7" fillId="4" borderId="37" xfId="0" applyNumberFormat="1" applyFont="1" applyFill="1" applyBorder="1" applyProtection="1"/>
    <xf numFmtId="165" fontId="7" fillId="6" borderId="50" xfId="0" applyNumberFormat="1" applyFont="1" applyFill="1" applyBorder="1" applyProtection="1">
      <protection locked="0"/>
    </xf>
    <xf numFmtId="165" fontId="7" fillId="6" borderId="10" xfId="0" applyNumberFormat="1" applyFont="1" applyFill="1" applyBorder="1" applyProtection="1">
      <protection locked="0"/>
    </xf>
    <xf numFmtId="164" fontId="7" fillId="4" borderId="51" xfId="0" applyFont="1" applyFill="1" applyBorder="1" applyProtection="1"/>
    <xf numFmtId="164" fontId="7" fillId="4" borderId="52" xfId="0" applyFont="1" applyFill="1" applyBorder="1" applyProtection="1"/>
    <xf numFmtId="164" fontId="7" fillId="4" borderId="53" xfId="0" applyFont="1" applyFill="1" applyBorder="1" applyProtection="1"/>
    <xf numFmtId="165" fontId="7" fillId="4" borderId="54" xfId="0" applyNumberFormat="1" applyFont="1" applyFill="1" applyBorder="1" applyProtection="1"/>
    <xf numFmtId="164" fontId="7" fillId="4" borderId="54" xfId="0" applyFont="1" applyFill="1" applyBorder="1" applyProtection="1"/>
    <xf numFmtId="164" fontId="7" fillId="4" borderId="55" xfId="0" applyFont="1" applyFill="1" applyBorder="1" applyProtection="1"/>
    <xf numFmtId="166" fontId="7" fillId="4" borderId="40" xfId="0" applyNumberFormat="1" applyFont="1" applyFill="1" applyBorder="1" applyProtection="1"/>
    <xf numFmtId="165" fontId="7" fillId="4" borderId="13" xfId="0" applyNumberFormat="1" applyFont="1" applyFill="1" applyBorder="1" applyProtection="1"/>
    <xf numFmtId="164" fontId="4" fillId="0" borderId="55" xfId="0" applyFont="1" applyBorder="1" applyProtection="1"/>
    <xf numFmtId="169" fontId="7" fillId="4" borderId="40" xfId="0" applyNumberFormat="1" applyFont="1" applyFill="1" applyBorder="1" applyProtection="1"/>
    <xf numFmtId="165" fontId="7" fillId="4" borderId="55" xfId="0" applyNumberFormat="1" applyFont="1" applyFill="1" applyBorder="1" applyProtection="1"/>
    <xf numFmtId="165" fontId="7" fillId="4" borderId="53" xfId="0" applyNumberFormat="1" applyFont="1" applyFill="1" applyBorder="1" applyProtection="1"/>
    <xf numFmtId="165" fontId="7" fillId="4" borderId="52" xfId="0" applyNumberFormat="1" applyFont="1" applyFill="1" applyBorder="1" applyProtection="1"/>
    <xf numFmtId="164" fontId="7" fillId="6" borderId="7" xfId="0" applyFont="1" applyFill="1" applyBorder="1" applyProtection="1">
      <protection locked="0"/>
    </xf>
    <xf numFmtId="164" fontId="7" fillId="5" borderId="56" xfId="0" applyFont="1" applyFill="1" applyBorder="1" applyProtection="1"/>
    <xf numFmtId="164" fontId="7" fillId="5" borderId="47" xfId="0" applyFont="1" applyFill="1" applyBorder="1" applyProtection="1"/>
    <xf numFmtId="164" fontId="7" fillId="5" borderId="7" xfId="0" applyFont="1" applyFill="1" applyBorder="1" applyProtection="1"/>
    <xf numFmtId="164" fontId="7" fillId="6" borderId="11" xfId="0" applyNumberFormat="1" applyFont="1" applyFill="1" applyBorder="1" applyProtection="1">
      <protection locked="0"/>
    </xf>
    <xf numFmtId="164" fontId="4" fillId="0" borderId="4" xfId="0" applyFont="1" applyBorder="1" applyProtection="1"/>
    <xf numFmtId="164" fontId="7" fillId="4" borderId="57" xfId="0" applyFont="1" applyFill="1" applyBorder="1" applyProtection="1"/>
    <xf numFmtId="164" fontId="4" fillId="0" borderId="10" xfId="0" applyFont="1" applyBorder="1" applyProtection="1"/>
    <xf numFmtId="164" fontId="7" fillId="7" borderId="0" xfId="0" applyFont="1" applyFill="1" applyAlignment="1"/>
    <xf numFmtId="2" fontId="5" fillId="8" borderId="58" xfId="0" applyNumberFormat="1" applyFont="1" applyFill="1" applyBorder="1" applyAlignment="1"/>
    <xf numFmtId="2" fontId="5" fillId="8" borderId="0" xfId="0" applyNumberFormat="1" applyFont="1" applyFill="1" applyAlignment="1"/>
    <xf numFmtId="2" fontId="6" fillId="8" borderId="58" xfId="0" applyNumberFormat="1" applyFont="1" applyFill="1" applyBorder="1" applyAlignment="1"/>
    <xf numFmtId="2" fontId="6" fillId="8" borderId="0" xfId="0" applyNumberFormat="1" applyFont="1" applyFill="1" applyAlignment="1"/>
    <xf numFmtId="2" fontId="8" fillId="7" borderId="59" xfId="0" applyNumberFormat="1" applyFont="1" applyFill="1" applyBorder="1" applyAlignment="1">
      <alignment horizontal="left"/>
    </xf>
    <xf numFmtId="2" fontId="2" fillId="7" borderId="60" xfId="0" applyNumberFormat="1" applyFont="1" applyFill="1" applyBorder="1" applyAlignment="1"/>
    <xf numFmtId="164" fontId="4" fillId="0" borderId="62" xfId="0" applyFont="1" applyBorder="1" applyAlignment="1"/>
    <xf numFmtId="0" fontId="9" fillId="0" borderId="58" xfId="0" applyNumberFormat="1" applyFont="1" applyBorder="1" applyAlignment="1"/>
    <xf numFmtId="0" fontId="9" fillId="0" borderId="60" xfId="0" applyNumberFormat="1" applyFont="1" applyBorder="1" applyAlignment="1"/>
    <xf numFmtId="0" fontId="12" fillId="0" borderId="60" xfId="1" applyNumberFormat="1" applyBorder="1" applyAlignment="1"/>
    <xf numFmtId="0" fontId="13" fillId="0" borderId="58" xfId="0" applyNumberFormat="1" applyFont="1" applyBorder="1" applyAlignment="1"/>
    <xf numFmtId="0" fontId="13" fillId="0" borderId="0" xfId="0" applyNumberFormat="1" applyFont="1" applyAlignment="1"/>
    <xf numFmtId="0" fontId="13" fillId="0" borderId="63" xfId="0" applyNumberFormat="1" applyFont="1" applyBorder="1" applyAlignment="1"/>
    <xf numFmtId="0" fontId="13" fillId="0" borderId="60" xfId="0" applyNumberFormat="1" applyFont="1" applyBorder="1" applyAlignment="1"/>
    <xf numFmtId="164" fontId="7" fillId="5" borderId="0" xfId="0" applyNumberFormat="1" applyFont="1" applyFill="1" applyBorder="1" applyAlignment="1" applyProtection="1">
      <alignment horizontal="right"/>
    </xf>
    <xf numFmtId="164" fontId="8" fillId="4" borderId="0" xfId="0" applyNumberFormat="1" applyFont="1" applyFill="1" applyBorder="1" applyProtection="1"/>
    <xf numFmtId="164" fontId="8" fillId="6" borderId="0" xfId="0" applyNumberFormat="1" applyFont="1" applyFill="1" applyBorder="1" applyProtection="1"/>
    <xf numFmtId="167" fontId="8" fillId="4" borderId="0" xfId="0" applyNumberFormat="1" applyFont="1" applyFill="1" applyBorder="1" applyProtection="1"/>
    <xf numFmtId="164" fontId="0" fillId="0" borderId="0" xfId="0" applyBorder="1"/>
    <xf numFmtId="164" fontId="8" fillId="6" borderId="0" xfId="0" applyNumberFormat="1" applyFont="1" applyFill="1" applyBorder="1" applyProtection="1">
      <protection locked="0"/>
    </xf>
    <xf numFmtId="0" fontId="13" fillId="0" borderId="64" xfId="0" applyNumberFormat="1" applyFont="1" applyBorder="1" applyAlignment="1"/>
    <xf numFmtId="0" fontId="13" fillId="0" borderId="65" xfId="0" applyNumberFormat="1" applyFont="1" applyBorder="1" applyAlignment="1"/>
    <xf numFmtId="0" fontId="13" fillId="0" borderId="66" xfId="0" applyNumberFormat="1" applyFont="1" applyBorder="1" applyAlignment="1"/>
    <xf numFmtId="0" fontId="13" fillId="0" borderId="67" xfId="0" applyNumberFormat="1" applyFont="1" applyBorder="1" applyAlignment="1"/>
    <xf numFmtId="0" fontId="13" fillId="0" borderId="68" xfId="0" applyNumberFormat="1" applyFont="1" applyBorder="1" applyAlignment="1"/>
    <xf numFmtId="164" fontId="0" fillId="0" borderId="69" xfId="0" applyBorder="1"/>
    <xf numFmtId="15" fontId="13" fillId="0" borderId="67" xfId="0" applyNumberFormat="1" applyFont="1" applyBorder="1" applyAlignment="1"/>
    <xf numFmtId="166" fontId="8" fillId="6" borderId="7" xfId="0" applyNumberFormat="1" applyFont="1" applyFill="1" applyBorder="1" applyProtection="1">
      <protection locked="0"/>
    </xf>
    <xf numFmtId="164" fontId="8" fillId="4" borderId="70" xfId="0" applyNumberFormat="1" applyFont="1" applyFill="1" applyBorder="1" applyAlignment="1" applyProtection="1">
      <alignment horizontal="right"/>
    </xf>
    <xf numFmtId="165" fontId="8" fillId="6" borderId="70" xfId="0" applyNumberFormat="1" applyFont="1" applyFill="1" applyBorder="1" applyProtection="1">
      <protection locked="0"/>
    </xf>
    <xf numFmtId="164" fontId="15" fillId="6" borderId="0" xfId="1" applyNumberFormat="1" applyFont="1" applyFill="1" applyBorder="1" applyProtection="1">
      <protection locked="0"/>
    </xf>
    <xf numFmtId="164" fontId="16" fillId="4" borderId="0" xfId="0" applyNumberFormat="1" applyFont="1" applyFill="1" applyBorder="1" applyProtection="1"/>
    <xf numFmtId="164" fontId="8" fillId="4" borderId="58" xfId="0" applyNumberFormat="1" applyFont="1" applyFill="1" applyBorder="1" applyProtection="1"/>
    <xf numFmtId="164" fontId="16" fillId="4" borderId="58" xfId="0" applyNumberFormat="1" applyFont="1" applyFill="1" applyBorder="1" applyProtection="1"/>
    <xf numFmtId="164" fontId="8" fillId="4" borderId="72" xfId="0" applyNumberFormat="1" applyFont="1" applyFill="1" applyBorder="1" applyProtection="1"/>
    <xf numFmtId="164" fontId="2" fillId="5" borderId="73" xfId="0" applyNumberFormat="1" applyFont="1" applyFill="1" applyBorder="1" applyProtection="1"/>
    <xf numFmtId="164" fontId="8" fillId="4" borderId="71" xfId="0" applyNumberFormat="1" applyFont="1" applyFill="1" applyBorder="1" applyProtection="1"/>
    <xf numFmtId="166" fontId="8" fillId="6" borderId="74" xfId="0" applyNumberFormat="1" applyFont="1" applyFill="1" applyBorder="1" applyProtection="1">
      <protection locked="0"/>
    </xf>
    <xf numFmtId="164" fontId="7" fillId="4" borderId="75" xfId="0" applyFont="1" applyFill="1" applyBorder="1" applyProtection="1"/>
    <xf numFmtId="164" fontId="4" fillId="0" borderId="58" xfId="0" applyFont="1" applyBorder="1" applyProtection="1"/>
    <xf numFmtId="164" fontId="8" fillId="4" borderId="58" xfId="0" applyNumberFormat="1" applyFont="1" applyFill="1" applyBorder="1" applyAlignment="1" applyProtection="1">
      <alignment horizontal="right"/>
    </xf>
    <xf numFmtId="165" fontId="7" fillId="6" borderId="74" xfId="0" applyNumberFormat="1" applyFont="1" applyFill="1" applyBorder="1" applyProtection="1">
      <protection locked="0"/>
    </xf>
    <xf numFmtId="164" fontId="8" fillId="3" borderId="76" xfId="0" applyNumberFormat="1" applyFont="1" applyFill="1" applyBorder="1" applyAlignment="1" applyProtection="1">
      <alignment horizontal="left"/>
    </xf>
    <xf numFmtId="164" fontId="8" fillId="3" borderId="58" xfId="0" applyNumberFormat="1" applyFont="1" applyFill="1" applyBorder="1" applyAlignment="1" applyProtection="1">
      <alignment horizontal="left"/>
    </xf>
    <xf numFmtId="164" fontId="8" fillId="3" borderId="77" xfId="0" applyNumberFormat="1" applyFont="1" applyFill="1" applyBorder="1" applyAlignment="1" applyProtection="1">
      <alignment horizontal="left"/>
    </xf>
    <xf numFmtId="164" fontId="8" fillId="4" borderId="58" xfId="0" applyNumberFormat="1" applyFont="1" applyFill="1" applyBorder="1" applyAlignment="1" applyProtection="1">
      <alignment horizontal="left"/>
    </xf>
    <xf numFmtId="164" fontId="2" fillId="5" borderId="71" xfId="0" applyNumberFormat="1" applyFont="1" applyFill="1" applyBorder="1" applyProtection="1">
      <protection locked="0"/>
    </xf>
    <xf numFmtId="164" fontId="2" fillId="5" borderId="58" xfId="0" applyNumberFormat="1" applyFont="1" applyFill="1" applyBorder="1" applyProtection="1"/>
    <xf numFmtId="164" fontId="7" fillId="5" borderId="78" xfId="0" applyFont="1" applyFill="1" applyBorder="1" applyProtection="1"/>
    <xf numFmtId="164" fontId="7" fillId="5" borderId="79" xfId="0" applyFont="1" applyFill="1" applyBorder="1" applyProtection="1"/>
    <xf numFmtId="164" fontId="7" fillId="5" borderId="80" xfId="0" applyFont="1" applyFill="1" applyBorder="1" applyProtection="1"/>
    <xf numFmtId="164" fontId="7" fillId="4" borderId="81" xfId="0" applyFont="1" applyFill="1" applyBorder="1" applyProtection="1"/>
    <xf numFmtId="165" fontId="7" fillId="4" borderId="82" xfId="0" applyNumberFormat="1" applyFont="1" applyFill="1" applyBorder="1" applyProtection="1"/>
    <xf numFmtId="165" fontId="7" fillId="4" borderId="83" xfId="0" applyNumberFormat="1" applyFont="1" applyFill="1" applyBorder="1" applyProtection="1"/>
    <xf numFmtId="164" fontId="4" fillId="0" borderId="84" xfId="0" applyFont="1" applyBorder="1" applyAlignment="1"/>
    <xf numFmtId="164" fontId="2" fillId="3" borderId="0" xfId="0" applyNumberFormat="1" applyFont="1" applyFill="1" applyBorder="1" applyAlignment="1" applyProtection="1">
      <alignment horizontal="right"/>
    </xf>
    <xf numFmtId="164" fontId="14" fillId="2" borderId="85" xfId="0" applyNumberFormat="1" applyFont="1" applyFill="1" applyBorder="1" applyProtection="1"/>
    <xf numFmtId="164" fontId="1" fillId="2" borderId="86" xfId="0" applyNumberFormat="1" applyFont="1" applyFill="1" applyBorder="1" applyProtection="1"/>
    <xf numFmtId="164" fontId="1" fillId="2" borderId="87" xfId="0" applyNumberFormat="1" applyFont="1" applyFill="1" applyBorder="1" applyProtection="1"/>
    <xf numFmtId="2" fontId="12" fillId="7" borderId="60" xfId="1" applyNumberFormat="1" applyFill="1" applyBorder="1" applyAlignment="1">
      <alignment horizontal="center"/>
    </xf>
    <xf numFmtId="2" fontId="12" fillId="7" borderId="61" xfId="1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META/LOG HORNER PLOT</a:t>
            </a:r>
          </a:p>
        </c:rich>
      </c:tx>
      <c:layout>
        <c:manualLayout>
          <c:xMode val="edge"/>
          <c:yMode val="edge"/>
          <c:x val="0.20833403976114828"/>
          <c:y val="3.3505196804019012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7152903757404776"/>
          <c:y val="0.213917794979506"/>
          <c:w val="0.5243073333988898"/>
          <c:h val="0.5644337000061664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'4metadst converted'!$V$64:$V$82</c:f>
              <c:numCache>
                <c:formatCode>0.00_)</c:formatCode>
                <c:ptCount val="19"/>
                <c:pt idx="0">
                  <c:v>1.0413926851582251</c:v>
                </c:pt>
                <c:pt idx="1">
                  <c:v>0.77815125038364363</c:v>
                </c:pt>
                <c:pt idx="2">
                  <c:v>0.63682209758717434</c:v>
                </c:pt>
                <c:pt idx="3">
                  <c:v>0.54406804435027567</c:v>
                </c:pt>
                <c:pt idx="4">
                  <c:v>0.47712125471966244</c:v>
                </c:pt>
                <c:pt idx="5">
                  <c:v>0.4259687322722811</c:v>
                </c:pt>
                <c:pt idx="6">
                  <c:v>0.38535088136401707</c:v>
                </c:pt>
                <c:pt idx="7">
                  <c:v>0.35218251811136247</c:v>
                </c:pt>
                <c:pt idx="8">
                  <c:v>0.3245110915135041</c:v>
                </c:pt>
                <c:pt idx="9">
                  <c:v>0.3010299956639812</c:v>
                </c:pt>
                <c:pt idx="10">
                  <c:v>0.28082660957569422</c:v>
                </c:pt>
                <c:pt idx="11">
                  <c:v>0.2632414347745814</c:v>
                </c:pt>
                <c:pt idx="12">
                  <c:v>0.24778448371075609</c:v>
                </c:pt>
                <c:pt idx="13">
                  <c:v>0.23408320603336796</c:v>
                </c:pt>
                <c:pt idx="14">
                  <c:v>0.22184874961635639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xVal>
          <c:yVal>
            <c:numRef>
              <c:f>'4metadst converted'!$W$64:$W$82</c:f>
              <c:numCache>
                <c:formatCode>0.00_)</c:formatCode>
                <c:ptCount val="19"/>
                <c:pt idx="0">
                  <c:v>17185</c:v>
                </c:pt>
                <c:pt idx="1">
                  <c:v>20629</c:v>
                </c:pt>
                <c:pt idx="2">
                  <c:v>21112</c:v>
                </c:pt>
                <c:pt idx="3">
                  <c:v>21231</c:v>
                </c:pt>
                <c:pt idx="4">
                  <c:v>21280</c:v>
                </c:pt>
                <c:pt idx="5">
                  <c:v>21308</c:v>
                </c:pt>
                <c:pt idx="6">
                  <c:v>21322</c:v>
                </c:pt>
                <c:pt idx="7">
                  <c:v>21326</c:v>
                </c:pt>
                <c:pt idx="8">
                  <c:v>21332</c:v>
                </c:pt>
                <c:pt idx="9">
                  <c:v>21338</c:v>
                </c:pt>
                <c:pt idx="10">
                  <c:v>21347</c:v>
                </c:pt>
                <c:pt idx="11">
                  <c:v>21352</c:v>
                </c:pt>
                <c:pt idx="12">
                  <c:v>21358</c:v>
                </c:pt>
                <c:pt idx="13">
                  <c:v>21364</c:v>
                </c:pt>
                <c:pt idx="14">
                  <c:v>21371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144000"/>
        <c:axId val="200146304"/>
      </c:scatterChart>
      <c:valAx>
        <c:axId val="2001440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Horner Time</a:t>
                </a:r>
              </a:p>
            </c:rich>
          </c:tx>
          <c:layout>
            <c:manualLayout>
              <c:xMode val="edge"/>
              <c:yMode val="edge"/>
              <c:x val="0.48958499343869843"/>
              <c:y val="0.90206299087743491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146304"/>
        <c:crosses val="autoZero"/>
        <c:crossBetween val="midCat"/>
        <c:majorUnit val="0.2"/>
      </c:valAx>
      <c:valAx>
        <c:axId val="20014630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Initial Buildup Pressure - KPa</a:t>
                </a:r>
              </a:p>
            </c:rich>
          </c:tx>
          <c:layout>
            <c:manualLayout>
              <c:xMode val="edge"/>
              <c:yMode val="edge"/>
              <c:x val="5.208350994028707E-2"/>
              <c:y val="0.2474229917835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144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META/LOG HORNER PLOT</a:t>
            </a:r>
          </a:p>
        </c:rich>
      </c:tx>
      <c:layout>
        <c:manualLayout>
          <c:xMode val="edge"/>
          <c:yMode val="edge"/>
          <c:x val="0.18490600107974844"/>
          <c:y val="3.3591816032320011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40377432888843029"/>
          <c:y val="0.21447082543712007"/>
          <c:w val="0.50188771721646008"/>
          <c:h val="0.5193811555766401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'4metadst converted'!$AA$64:$AA$82</c:f>
              <c:numCache>
                <c:formatCode>0.00_)</c:formatCode>
                <c:ptCount val="19"/>
                <c:pt idx="0">
                  <c:v>1.3979400086720377</c:v>
                </c:pt>
                <c:pt idx="1">
                  <c:v>1.1139433523068367</c:v>
                </c:pt>
                <c:pt idx="2">
                  <c:v>0.95424250943932487</c:v>
                </c:pt>
                <c:pt idx="3">
                  <c:v>0.84509804001425681</c:v>
                </c:pt>
                <c:pt idx="4">
                  <c:v>0.76342799356293722</c:v>
                </c:pt>
                <c:pt idx="5">
                  <c:v>0.69897000433601886</c:v>
                </c:pt>
                <c:pt idx="6">
                  <c:v>0.64626365382001583</c:v>
                </c:pt>
                <c:pt idx="7">
                  <c:v>0.6020599913279624</c:v>
                </c:pt>
                <c:pt idx="8">
                  <c:v>0.56427143043856254</c:v>
                </c:pt>
                <c:pt idx="9">
                  <c:v>0.53147891704225514</c:v>
                </c:pt>
                <c:pt idx="10">
                  <c:v>0.50267535919205053</c:v>
                </c:pt>
                <c:pt idx="11">
                  <c:v>0.47712125471966244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xVal>
          <c:yVal>
            <c:numRef>
              <c:f>'4metadst converted'!$AB$64:$AB$82</c:f>
              <c:numCache>
                <c:formatCode>0.00_)</c:formatCode>
                <c:ptCount val="19"/>
                <c:pt idx="0">
                  <c:v>15400.0000002</c:v>
                </c:pt>
                <c:pt idx="1">
                  <c:v>17969</c:v>
                </c:pt>
                <c:pt idx="2">
                  <c:v>20013</c:v>
                </c:pt>
                <c:pt idx="3">
                  <c:v>20902</c:v>
                </c:pt>
                <c:pt idx="4">
                  <c:v>21175</c:v>
                </c:pt>
                <c:pt idx="5">
                  <c:v>21266</c:v>
                </c:pt>
                <c:pt idx="6">
                  <c:v>21280</c:v>
                </c:pt>
                <c:pt idx="7">
                  <c:v>21294</c:v>
                </c:pt>
                <c:pt idx="8">
                  <c:v>21308</c:v>
                </c:pt>
                <c:pt idx="9">
                  <c:v>21315</c:v>
                </c:pt>
                <c:pt idx="10">
                  <c:v>21329</c:v>
                </c:pt>
                <c:pt idx="11">
                  <c:v>21343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40128"/>
        <c:axId val="200267264"/>
      </c:scatterChart>
      <c:valAx>
        <c:axId val="2002401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Horner Time</a:t>
                </a:r>
              </a:p>
            </c:rich>
          </c:tx>
          <c:layout>
            <c:manualLayout>
              <c:xMode val="edge"/>
              <c:yMode val="edge"/>
              <c:x val="0.49811412535768973"/>
              <c:y val="0.901811061175360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67264"/>
        <c:crosses val="autoZero"/>
        <c:crossBetween val="midCat"/>
        <c:majorUnit val="0.2"/>
      </c:valAx>
      <c:valAx>
        <c:axId val="200267264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Final Buildup Pressure - KPa</a:t>
                </a:r>
              </a:p>
            </c:rich>
          </c:tx>
          <c:layout>
            <c:manualLayout>
              <c:xMode val="edge"/>
              <c:yMode val="edge"/>
              <c:x val="5.6603877881555652E-2"/>
              <c:y val="0.229974740528960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012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META/LOG RAMEY  PLOT
My Well</a:t>
            </a:r>
          </a:p>
        </c:rich>
      </c:tx>
      <c:layout>
        <c:manualLayout>
          <c:xMode val="edge"/>
          <c:yMode val="edge"/>
          <c:x val="0.21527850775318655"/>
          <c:y val="3.367875647668394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8889020755414344"/>
          <c:y val="0.21502590673575128"/>
          <c:w val="0.50694616341879417"/>
          <c:h val="0.5621761658031088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'4metadst converted'!$V$64:$V$82</c:f>
              <c:numCache>
                <c:formatCode>0.00_)</c:formatCode>
                <c:ptCount val="19"/>
                <c:pt idx="0">
                  <c:v>1.0413926851582251</c:v>
                </c:pt>
                <c:pt idx="1">
                  <c:v>0.77815125038364363</c:v>
                </c:pt>
                <c:pt idx="2">
                  <c:v>0.63682209758717434</c:v>
                </c:pt>
                <c:pt idx="3">
                  <c:v>0.54406804435027567</c:v>
                </c:pt>
                <c:pt idx="4">
                  <c:v>0.47712125471966244</c:v>
                </c:pt>
                <c:pt idx="5">
                  <c:v>0.4259687322722811</c:v>
                </c:pt>
                <c:pt idx="6">
                  <c:v>0.38535088136401707</c:v>
                </c:pt>
                <c:pt idx="7">
                  <c:v>0.35218251811136247</c:v>
                </c:pt>
                <c:pt idx="8">
                  <c:v>0.3245110915135041</c:v>
                </c:pt>
                <c:pt idx="9">
                  <c:v>0.3010299956639812</c:v>
                </c:pt>
                <c:pt idx="10">
                  <c:v>0.28082660957569422</c:v>
                </c:pt>
                <c:pt idx="11">
                  <c:v>0.2632414347745814</c:v>
                </c:pt>
                <c:pt idx="12">
                  <c:v>0.24778448371075609</c:v>
                </c:pt>
                <c:pt idx="13">
                  <c:v>0.23408320603336796</c:v>
                </c:pt>
                <c:pt idx="14">
                  <c:v>0.22184874961635639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xVal>
          <c:yVal>
            <c:numRef>
              <c:f>'4metadst converted'!$Y$64:$Y$82</c:f>
              <c:numCache>
                <c:formatCode>0_)</c:formatCode>
                <c:ptCount val="19"/>
                <c:pt idx="0">
                  <c:v>295324.22499999998</c:v>
                </c:pt>
                <c:pt idx="1">
                  <c:v>425555.641</c:v>
                </c:pt>
                <c:pt idx="2">
                  <c:v>445716.54399999999</c:v>
                </c:pt>
                <c:pt idx="3">
                  <c:v>450755.36099999998</c:v>
                </c:pt>
                <c:pt idx="4">
                  <c:v>452838.40000000002</c:v>
                </c:pt>
                <c:pt idx="5">
                  <c:v>454030.864</c:v>
                </c:pt>
                <c:pt idx="6">
                  <c:v>454627.68400000001</c:v>
                </c:pt>
                <c:pt idx="7">
                  <c:v>454798.27600000001</c:v>
                </c:pt>
                <c:pt idx="8">
                  <c:v>455054.22399999999</c:v>
                </c:pt>
                <c:pt idx="9">
                  <c:v>455310.24400000001</c:v>
                </c:pt>
                <c:pt idx="10">
                  <c:v>455694.40899999999</c:v>
                </c:pt>
                <c:pt idx="11">
                  <c:v>455907.90399999998</c:v>
                </c:pt>
                <c:pt idx="12">
                  <c:v>456164.16399999999</c:v>
                </c:pt>
                <c:pt idx="13">
                  <c:v>456420.49599999998</c:v>
                </c:pt>
                <c:pt idx="14">
                  <c:v>456719.641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225728"/>
        <c:axId val="201228288"/>
      </c:scatterChart>
      <c:valAx>
        <c:axId val="20122572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Horner Time</a:t>
                </a:r>
              </a:p>
            </c:rich>
          </c:tx>
          <c:layout>
            <c:manualLayout>
              <c:xMode val="edge"/>
              <c:yMode val="edge"/>
              <c:x val="0.50000169542675588"/>
              <c:y val="0.90155440414507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228288"/>
        <c:crosses val="autoZero"/>
        <c:crossBetween val="midCat"/>
        <c:majorUnit val="0.2"/>
      </c:valAx>
      <c:valAx>
        <c:axId val="20122828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Initial Buildup Pressure Squared - KPa^2</a:t>
                </a:r>
              </a:p>
            </c:rich>
          </c:tx>
          <c:layout>
            <c:manualLayout>
              <c:xMode val="edge"/>
              <c:yMode val="edge"/>
              <c:x val="4.861127594426793E-2"/>
              <c:y val="0.2098445595854922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22572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META/LOG RAMEY  PLOT
My Well</a:t>
            </a:r>
          </a:p>
        </c:rich>
      </c:tx>
      <c:layout>
        <c:manualLayout>
          <c:xMode val="edge"/>
          <c:yMode val="edge"/>
          <c:x val="0.19245318479728921"/>
          <c:y val="3.1331592689295036E-2"/>
        </c:manualLayout>
      </c:layout>
      <c:overlay val="0"/>
      <c:spPr>
        <a:noFill/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42264228818228217"/>
          <c:y val="0.21671018276762402"/>
          <c:w val="0.48301975792260821"/>
          <c:h val="0.51436031331592691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'4metadst converted'!$AA$64:$AA$82</c:f>
              <c:numCache>
                <c:formatCode>0.00_)</c:formatCode>
                <c:ptCount val="19"/>
                <c:pt idx="0">
                  <c:v>1.3979400086720377</c:v>
                </c:pt>
                <c:pt idx="1">
                  <c:v>1.1139433523068367</c:v>
                </c:pt>
                <c:pt idx="2">
                  <c:v>0.95424250943932487</c:v>
                </c:pt>
                <c:pt idx="3">
                  <c:v>0.84509804001425681</c:v>
                </c:pt>
                <c:pt idx="4">
                  <c:v>0.76342799356293722</c:v>
                </c:pt>
                <c:pt idx="5">
                  <c:v>0.69897000433601886</c:v>
                </c:pt>
                <c:pt idx="6">
                  <c:v>0.64626365382001583</c:v>
                </c:pt>
                <c:pt idx="7">
                  <c:v>0.6020599913279624</c:v>
                </c:pt>
                <c:pt idx="8">
                  <c:v>0.56427143043856254</c:v>
                </c:pt>
                <c:pt idx="9">
                  <c:v>0.53147891704225514</c:v>
                </c:pt>
                <c:pt idx="10">
                  <c:v>0.50267535919205053</c:v>
                </c:pt>
                <c:pt idx="11">
                  <c:v>0.47712125471966244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xVal>
          <c:yVal>
            <c:numRef>
              <c:f>'4metadst converted'!$AD$64:$AD$82</c:f>
              <c:numCache>
                <c:formatCode>0_)</c:formatCode>
                <c:ptCount val="19"/>
                <c:pt idx="0">
                  <c:v>237160.00000616</c:v>
                </c:pt>
                <c:pt idx="1">
                  <c:v>322884.96100000001</c:v>
                </c:pt>
                <c:pt idx="2">
                  <c:v>400520.16899999999</c:v>
                </c:pt>
                <c:pt idx="3">
                  <c:v>436893.60399999999</c:v>
                </c:pt>
                <c:pt idx="4">
                  <c:v>448380.625</c:v>
                </c:pt>
                <c:pt idx="5">
                  <c:v>452242.75599999999</c:v>
                </c:pt>
                <c:pt idx="6">
                  <c:v>452838.40000000002</c:v>
                </c:pt>
                <c:pt idx="7">
                  <c:v>453434.43599999999</c:v>
                </c:pt>
                <c:pt idx="8">
                  <c:v>454030.864</c:v>
                </c:pt>
                <c:pt idx="9">
                  <c:v>454329.22499999998</c:v>
                </c:pt>
                <c:pt idx="10">
                  <c:v>454926.24099999998</c:v>
                </c:pt>
                <c:pt idx="11">
                  <c:v>455523.64899999998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235840"/>
        <c:axId val="201668480"/>
      </c:scatterChart>
      <c:valAx>
        <c:axId val="20123584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Horner Time</a:t>
                </a:r>
              </a:p>
            </c:rich>
          </c:tx>
          <c:layout>
            <c:manualLayout>
              <c:xMode val="edge"/>
              <c:yMode val="edge"/>
              <c:x val="0.50943490093400079"/>
              <c:y val="0.900783289817232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" sourceLinked="1"/>
        <c:majorTickMark val="in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668480"/>
        <c:crosses val="autoZero"/>
        <c:crossBetween val="midCat"/>
        <c:majorUnit val="0.2"/>
      </c:valAx>
      <c:valAx>
        <c:axId val="2016684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Final Buildup Pressure Squared - KPa^2</a:t>
                </a:r>
              </a:p>
            </c:rich>
          </c:tx>
          <c:layout>
            <c:manualLayout>
              <c:xMode val="edge"/>
              <c:yMode val="edge"/>
              <c:x val="5.2830286022785271E-2"/>
              <c:y val="0.1906005221932115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23584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77</xdr:row>
      <xdr:rowOff>76200</xdr:rowOff>
    </xdr:from>
    <xdr:to>
      <xdr:col>4</xdr:col>
      <xdr:colOff>409575</xdr:colOff>
      <xdr:row>100</xdr:row>
      <xdr:rowOff>38100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0</xdr:colOff>
      <xdr:row>77</xdr:row>
      <xdr:rowOff>76200</xdr:rowOff>
    </xdr:from>
    <xdr:to>
      <xdr:col>9</xdr:col>
      <xdr:colOff>466725</xdr:colOff>
      <xdr:row>100</xdr:row>
      <xdr:rowOff>28575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101</xdr:row>
      <xdr:rowOff>0</xdr:rowOff>
    </xdr:from>
    <xdr:to>
      <xdr:col>4</xdr:col>
      <xdr:colOff>371475</xdr:colOff>
      <xdr:row>123</xdr:row>
      <xdr:rowOff>114300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5</xdr:col>
      <xdr:colOff>0</xdr:colOff>
      <xdr:row>101</xdr:row>
      <xdr:rowOff>0</xdr:rowOff>
    </xdr:from>
    <xdr:to>
      <xdr:col>9</xdr:col>
      <xdr:colOff>466725</xdr:colOff>
      <xdr:row>123</xdr:row>
      <xdr:rowOff>85725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y/16-dst.htm" TargetMode="External"/><Relationship Id="rId1" Type="http://schemas.openxmlformats.org/officeDocument/2006/relationships/hyperlink" Target="https://www.spec2000.net/00-fineprint.ht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/>
  <dimension ref="A1:AH125"/>
  <sheetViews>
    <sheetView tabSelected="1" defaultGridColor="0" colorId="15" zoomScale="126" zoomScaleNormal="126" workbookViewId="0"/>
  </sheetViews>
  <sheetFormatPr defaultColWidth="7.7109375" defaultRowHeight="12.75"/>
  <cols>
    <col min="1" max="4" width="11.7109375" customWidth="1"/>
    <col min="5" max="6" width="10.7109375" customWidth="1"/>
    <col min="7" max="7" width="11" bestFit="1" customWidth="1"/>
    <col min="12" max="12" width="12" customWidth="1"/>
    <col min="18" max="18" width="8.7109375" customWidth="1"/>
    <col min="25" max="25" width="6.7109375" customWidth="1"/>
    <col min="26" max="29" width="8.7109375" customWidth="1"/>
    <col min="30" max="30" width="9.7109375" customWidth="1"/>
    <col min="31" max="31" width="8.7109375" customWidth="1"/>
    <col min="32" max="32" width="10.7109375" customWidth="1"/>
    <col min="33" max="33" width="2.7109375" customWidth="1"/>
  </cols>
  <sheetData>
    <row r="1" spans="1:34" ht="30.75" thickTop="1">
      <c r="A1" s="194" t="s">
        <v>152</v>
      </c>
      <c r="B1" s="195"/>
      <c r="C1" s="195"/>
      <c r="D1" s="195"/>
      <c r="E1" s="195"/>
      <c r="F1" s="195"/>
      <c r="G1" s="195"/>
      <c r="H1" s="195"/>
      <c r="I1" s="195"/>
      <c r="J1" s="196"/>
      <c r="K1" s="193"/>
      <c r="L1" s="2" t="s">
        <v>0</v>
      </c>
      <c r="M1" s="2"/>
      <c r="N1" s="2"/>
      <c r="O1" s="2"/>
      <c r="P1" s="2"/>
      <c r="Q1" s="2"/>
      <c r="R1" s="3"/>
      <c r="S1" s="4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ht="18">
      <c r="A2" s="138" t="s">
        <v>150</v>
      </c>
      <c r="B2" s="139"/>
      <c r="C2" s="139"/>
      <c r="D2" s="139"/>
      <c r="E2" s="139"/>
      <c r="F2" s="139"/>
      <c r="G2" s="139"/>
      <c r="H2" s="139"/>
      <c r="I2" s="139"/>
      <c r="J2" s="139"/>
      <c r="K2" s="1"/>
      <c r="L2" s="7"/>
      <c r="M2" s="7"/>
      <c r="N2" s="7"/>
      <c r="O2" s="7"/>
      <c r="P2" s="7"/>
      <c r="Q2" s="7"/>
      <c r="R2" s="8"/>
      <c r="S2" s="9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6"/>
    </row>
    <row r="3" spans="1:34" ht="18">
      <c r="A3" s="138" t="s">
        <v>151</v>
      </c>
      <c r="B3" s="139"/>
      <c r="C3" s="139"/>
      <c r="D3" s="139"/>
      <c r="E3" s="139"/>
      <c r="F3" s="139"/>
      <c r="G3" s="139"/>
      <c r="H3" s="139"/>
      <c r="I3" s="139"/>
      <c r="J3" s="139"/>
      <c r="K3" s="10"/>
      <c r="L3" s="11" t="s">
        <v>1</v>
      </c>
      <c r="M3" s="11"/>
      <c r="N3" s="11"/>
      <c r="O3" s="12" t="s">
        <v>2</v>
      </c>
      <c r="P3" s="12" t="s">
        <v>3</v>
      </c>
      <c r="Q3" s="12" t="s">
        <v>4</v>
      </c>
      <c r="R3" s="13" t="s">
        <v>5</v>
      </c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13.5" thickBot="1">
      <c r="A4" s="140"/>
      <c r="B4" s="141"/>
      <c r="C4" s="141"/>
      <c r="D4" s="141"/>
      <c r="E4" s="141"/>
      <c r="F4" s="141"/>
      <c r="G4" s="141"/>
      <c r="H4" s="141"/>
      <c r="I4" s="141"/>
      <c r="J4" s="141"/>
      <c r="K4" s="18"/>
      <c r="L4" s="19" t="s">
        <v>6</v>
      </c>
      <c r="M4" s="19" t="s">
        <v>7</v>
      </c>
      <c r="N4" s="19" t="s">
        <v>8</v>
      </c>
      <c r="O4" s="20" t="s">
        <v>9</v>
      </c>
      <c r="P4" s="20" t="s">
        <v>9</v>
      </c>
      <c r="Q4" s="20" t="s">
        <v>9</v>
      </c>
      <c r="R4" s="21" t="s">
        <v>10</v>
      </c>
      <c r="S4" s="14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15.95" customHeight="1" thickTop="1" thickBot="1">
      <c r="A5" s="142" t="s">
        <v>140</v>
      </c>
      <c r="B5" s="143"/>
      <c r="C5" s="143"/>
      <c r="D5" s="143"/>
      <c r="E5" s="143"/>
      <c r="F5" s="197" t="s">
        <v>141</v>
      </c>
      <c r="G5" s="198"/>
      <c r="H5" s="198"/>
      <c r="I5" s="192"/>
      <c r="J5" s="144"/>
      <c r="K5" s="24"/>
      <c r="L5" s="25">
        <f t="shared" ref="L5:L23" si="0">IF($A$16="M",N5,M5)</f>
        <v>1</v>
      </c>
      <c r="M5" s="25">
        <v>0</v>
      </c>
      <c r="N5" s="25">
        <v>1</v>
      </c>
      <c r="O5" s="25"/>
      <c r="P5" s="25" t="s">
        <v>11</v>
      </c>
      <c r="Q5" s="25"/>
      <c r="R5" s="26"/>
      <c r="S5" s="14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14.25" thickTop="1" thickBot="1">
      <c r="A6" s="145"/>
      <c r="B6" s="146"/>
      <c r="C6" s="146"/>
      <c r="D6" s="146"/>
      <c r="E6" s="146"/>
      <c r="F6" s="146"/>
      <c r="G6" s="146"/>
      <c r="H6" s="146"/>
      <c r="I6" s="147"/>
      <c r="J6" s="146"/>
      <c r="K6" s="27"/>
      <c r="L6" s="28">
        <f t="shared" si="0"/>
        <v>21.5</v>
      </c>
      <c r="M6" s="28">
        <v>6.7</v>
      </c>
      <c r="N6" s="28">
        <v>21.5</v>
      </c>
      <c r="O6" s="28">
        <v>0.4</v>
      </c>
      <c r="P6" s="28">
        <f>E29</f>
        <v>0</v>
      </c>
      <c r="Q6" s="28">
        <v>1</v>
      </c>
      <c r="R6" s="29">
        <f>I29</f>
        <v>0</v>
      </c>
      <c r="S6" s="14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14.25" thickTop="1" thickBot="1">
      <c r="A7" s="148" t="s">
        <v>142</v>
      </c>
      <c r="B7" s="149"/>
      <c r="C7" s="150" t="s">
        <v>143</v>
      </c>
      <c r="D7" s="151"/>
      <c r="E7" s="151"/>
      <c r="F7" s="148"/>
      <c r="G7" s="149" t="s">
        <v>144</v>
      </c>
      <c r="H7" s="161" t="s">
        <v>12</v>
      </c>
      <c r="I7" s="162"/>
      <c r="J7" s="163"/>
      <c r="K7" s="152"/>
      <c r="L7" s="28">
        <f t="shared" si="0"/>
        <v>1.8</v>
      </c>
      <c r="M7" s="28">
        <v>1</v>
      </c>
      <c r="N7" s="28">
        <v>1.8</v>
      </c>
      <c r="O7" s="28">
        <f>C30</f>
        <v>0</v>
      </c>
      <c r="P7" s="28">
        <f>E30</f>
        <v>0</v>
      </c>
      <c r="Q7" s="28">
        <v>0.5</v>
      </c>
      <c r="R7" s="29">
        <f>I30</f>
        <v>0</v>
      </c>
      <c r="S7" s="14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14.25" thickTop="1" thickBot="1">
      <c r="A8" s="148" t="s">
        <v>145</v>
      </c>
      <c r="B8" s="149"/>
      <c r="C8" s="158" t="s">
        <v>146</v>
      </c>
      <c r="D8" s="159"/>
      <c r="E8" s="160"/>
      <c r="F8" s="153"/>
      <c r="G8" s="149" t="s">
        <v>147</v>
      </c>
      <c r="H8" s="164" t="s">
        <v>148</v>
      </c>
      <c r="I8" s="162"/>
      <c r="J8" s="163"/>
      <c r="K8" s="152"/>
      <c r="L8" s="28">
        <f t="shared" si="0"/>
        <v>32</v>
      </c>
      <c r="M8" s="28">
        <v>0</v>
      </c>
      <c r="N8" s="28">
        <v>32</v>
      </c>
      <c r="O8" s="28">
        <v>0.4</v>
      </c>
      <c r="P8" s="28">
        <f>E31</f>
        <v>0</v>
      </c>
      <c r="Q8" s="28">
        <v>0.3</v>
      </c>
      <c r="R8" s="29">
        <f>I31</f>
        <v>0</v>
      </c>
      <c r="S8" s="14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13.5" thickTop="1">
      <c r="A9" s="170"/>
      <c r="B9" s="153"/>
      <c r="C9" s="157"/>
      <c r="D9" s="154"/>
      <c r="E9" s="154"/>
      <c r="F9" s="153"/>
      <c r="G9" s="153"/>
      <c r="H9" s="157"/>
      <c r="I9" s="154"/>
      <c r="J9" s="153"/>
      <c r="K9" s="152"/>
      <c r="L9" s="28">
        <f t="shared" si="0"/>
        <v>3.2808398950131199</v>
      </c>
      <c r="M9" s="28">
        <v>1</v>
      </c>
      <c r="N9" s="28">
        <v>3.2808398950131199</v>
      </c>
      <c r="O9" s="30">
        <v>0</v>
      </c>
      <c r="P9" s="28" t="s">
        <v>13</v>
      </c>
      <c r="Q9" s="31">
        <v>99999</v>
      </c>
      <c r="R9" s="29" t="s">
        <v>14</v>
      </c>
      <c r="S9" s="14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>
      <c r="A10" s="171" t="s">
        <v>153</v>
      </c>
      <c r="B10" s="169"/>
      <c r="C10" s="168" t="s">
        <v>154</v>
      </c>
      <c r="D10" s="154"/>
      <c r="E10" s="154"/>
      <c r="F10" s="153"/>
      <c r="G10" s="153"/>
      <c r="H10" s="157"/>
      <c r="I10" s="154"/>
      <c r="J10" s="153"/>
      <c r="K10" s="152"/>
      <c r="L10" s="28">
        <f t="shared" si="0"/>
        <v>0.30480000000000002</v>
      </c>
      <c r="M10" s="28">
        <v>1</v>
      </c>
      <c r="N10" s="28">
        <v>0.30480000000000002</v>
      </c>
      <c r="O10" s="28">
        <v>41</v>
      </c>
      <c r="P10" s="28" t="s">
        <v>15</v>
      </c>
      <c r="Q10" s="28"/>
      <c r="R10" s="29"/>
      <c r="S10" s="14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>
      <c r="A11" s="170"/>
      <c r="B11" s="153"/>
      <c r="C11" s="157"/>
      <c r="D11" s="154"/>
      <c r="E11" s="153"/>
      <c r="F11" s="155"/>
      <c r="G11" s="156"/>
      <c r="H11" s="156"/>
      <c r="I11" s="156"/>
      <c r="J11" s="153"/>
      <c r="K11" s="152"/>
      <c r="L11" s="28">
        <f t="shared" si="0"/>
        <v>2650</v>
      </c>
      <c r="M11" s="28">
        <v>2.65</v>
      </c>
      <c r="N11" s="31">
        <v>2650</v>
      </c>
      <c r="O11" s="28"/>
      <c r="P11" s="28"/>
      <c r="Q11" s="28"/>
      <c r="R11" s="29"/>
      <c r="S11" s="14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13.5" thickBot="1">
      <c r="A12" s="172"/>
      <c r="B12" s="33"/>
      <c r="C12" s="34"/>
      <c r="D12" s="33"/>
      <c r="E12" s="33"/>
      <c r="F12" s="33"/>
      <c r="G12" s="33"/>
      <c r="H12" s="33"/>
      <c r="I12" s="34"/>
      <c r="J12" s="35"/>
      <c r="K12" s="27"/>
      <c r="L12" s="28">
        <f t="shared" si="0"/>
        <v>2710</v>
      </c>
      <c r="M12" s="28">
        <v>2.71</v>
      </c>
      <c r="N12" s="31">
        <v>2710</v>
      </c>
      <c r="O12" s="28"/>
      <c r="P12" s="28"/>
      <c r="Q12" s="28"/>
      <c r="R12" s="29"/>
      <c r="S12" s="14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16.5" thickBot="1">
      <c r="A13" s="173" t="s">
        <v>139</v>
      </c>
      <c r="C13" s="16"/>
      <c r="E13" s="16"/>
      <c r="F13" s="16"/>
      <c r="J13" s="17"/>
      <c r="K13" s="27"/>
      <c r="L13" s="28">
        <f t="shared" si="0"/>
        <v>1</v>
      </c>
      <c r="M13" s="28">
        <v>0.159</v>
      </c>
      <c r="N13" s="28">
        <v>1</v>
      </c>
      <c r="O13" s="28" t="s">
        <v>19</v>
      </c>
      <c r="P13" s="28"/>
      <c r="Q13" s="28"/>
      <c r="R13" s="29"/>
      <c r="S13" s="14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>
      <c r="A14" s="174"/>
      <c r="B14" s="36"/>
      <c r="C14" s="36"/>
      <c r="D14" s="36"/>
      <c r="E14" s="36"/>
      <c r="F14" s="36"/>
      <c r="G14" s="36"/>
      <c r="H14" s="36"/>
      <c r="I14" s="22"/>
      <c r="J14" s="37"/>
      <c r="K14" s="27"/>
      <c r="L14" s="28">
        <f t="shared" si="0"/>
        <v>1</v>
      </c>
      <c r="M14" s="28">
        <v>2.8299999999999999E-2</v>
      </c>
      <c r="N14" s="28">
        <v>1</v>
      </c>
      <c r="O14" s="28"/>
      <c r="P14" s="28"/>
      <c r="Q14" s="28"/>
      <c r="R14" s="29"/>
      <c r="S14" s="1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13.5" thickBot="1">
      <c r="A15" s="170" t="s">
        <v>16</v>
      </c>
      <c r="B15" s="166" t="s">
        <v>149</v>
      </c>
      <c r="C15" s="22" t="s">
        <v>20</v>
      </c>
      <c r="D15" s="22"/>
      <c r="E15" s="22" t="s">
        <v>21</v>
      </c>
      <c r="F15" s="22"/>
      <c r="G15" s="38" t="s">
        <v>22</v>
      </c>
      <c r="H15" s="22"/>
      <c r="I15" s="38" t="s">
        <v>23</v>
      </c>
      <c r="J15" s="23"/>
      <c r="K15" s="27"/>
      <c r="L15" s="28">
        <f t="shared" si="0"/>
        <v>1000</v>
      </c>
      <c r="M15" s="28">
        <v>1</v>
      </c>
      <c r="N15" s="31">
        <v>1000</v>
      </c>
      <c r="O15" s="28"/>
      <c r="P15" s="28"/>
      <c r="Q15" s="28"/>
      <c r="R15" s="29"/>
      <c r="S15" s="1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13.5" thickBot="1">
      <c r="A16" s="175" t="s">
        <v>17</v>
      </c>
      <c r="B16" s="167">
        <v>1</v>
      </c>
      <c r="C16" s="165">
        <v>2152</v>
      </c>
      <c r="D16" s="22" t="str">
        <f>$L$24</f>
        <v>meters</v>
      </c>
      <c r="E16" s="32">
        <v>2154</v>
      </c>
      <c r="F16" s="22" t="str">
        <f>$L$24</f>
        <v>meters</v>
      </c>
      <c r="G16" s="40">
        <v>13</v>
      </c>
      <c r="H16" s="22"/>
      <c r="I16" s="39" t="s">
        <v>24</v>
      </c>
      <c r="J16" s="23"/>
      <c r="K16" s="27"/>
      <c r="L16" s="28">
        <f t="shared" si="0"/>
        <v>2149</v>
      </c>
      <c r="M16" s="28">
        <v>162.6</v>
      </c>
      <c r="N16" s="31">
        <v>2149</v>
      </c>
      <c r="O16" s="28"/>
      <c r="P16" s="28"/>
      <c r="Q16" s="28"/>
      <c r="R16" s="29"/>
      <c r="S16" s="14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34" ht="13.5" thickBot="1">
      <c r="A17" s="170" t="s">
        <v>18</v>
      </c>
      <c r="B17" s="6"/>
      <c r="C17" s="6"/>
      <c r="D17" s="6"/>
      <c r="E17" s="6"/>
      <c r="F17" s="6"/>
      <c r="G17" s="6"/>
      <c r="H17" s="6"/>
      <c r="I17" s="6"/>
      <c r="J17" s="23"/>
      <c r="K17" s="27"/>
      <c r="L17" s="28">
        <f t="shared" si="0"/>
        <v>2.149</v>
      </c>
      <c r="M17" s="28">
        <v>162.6</v>
      </c>
      <c r="N17" s="28">
        <v>2.149</v>
      </c>
      <c r="O17" s="28"/>
      <c r="P17" s="28"/>
      <c r="Q17" s="28"/>
      <c r="R17" s="29"/>
      <c r="S17" s="14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</row>
    <row r="18" spans="1:34" ht="13.5" thickBot="1">
      <c r="A18" s="176" t="s">
        <v>25</v>
      </c>
      <c r="B18" s="42"/>
      <c r="C18" s="43">
        <v>2.1</v>
      </c>
      <c r="D18" s="41" t="str">
        <f>$L$33</f>
        <v>m3</v>
      </c>
      <c r="E18" s="44" t="s">
        <v>26</v>
      </c>
      <c r="F18" s="42"/>
      <c r="G18" s="45">
        <v>25267.857143000001</v>
      </c>
      <c r="H18" s="41" t="str">
        <f>IF($L$5,$L$27,$J$27)</f>
        <v>m3/d</v>
      </c>
      <c r="I18" s="6"/>
      <c r="J18" s="23"/>
      <c r="K18" s="27"/>
      <c r="L18" s="28">
        <f t="shared" si="0"/>
        <v>273</v>
      </c>
      <c r="M18" s="31">
        <v>460</v>
      </c>
      <c r="N18" s="31">
        <v>273</v>
      </c>
      <c r="O18" s="28"/>
      <c r="P18" s="28"/>
      <c r="Q18" s="28"/>
      <c r="R18" s="29"/>
      <c r="S18" s="1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</row>
    <row r="19" spans="1:34" ht="13.5" thickBot="1">
      <c r="A19" s="176" t="s">
        <v>27</v>
      </c>
      <c r="B19" s="42"/>
      <c r="C19" s="43">
        <v>2.8</v>
      </c>
      <c r="D19" s="41" t="s">
        <v>28</v>
      </c>
      <c r="E19" s="44" t="s">
        <v>29</v>
      </c>
      <c r="F19" s="42"/>
      <c r="G19" s="46">
        <v>0.02</v>
      </c>
      <c r="H19" s="41" t="s">
        <v>28</v>
      </c>
      <c r="I19" s="6"/>
      <c r="J19" s="23"/>
      <c r="K19" s="27"/>
      <c r="L19" s="28">
        <f t="shared" si="0"/>
        <v>5.354E-4</v>
      </c>
      <c r="M19" s="28">
        <v>7.0800000000000004E-3</v>
      </c>
      <c r="N19" s="28">
        <v>5.354E-4</v>
      </c>
      <c r="O19" s="28"/>
      <c r="P19" s="28"/>
      <c r="Q19" s="28"/>
      <c r="R19" s="29"/>
      <c r="S19" s="14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</row>
    <row r="20" spans="1:34" ht="13.5" thickBot="1">
      <c r="A20" s="176" t="s">
        <v>30</v>
      </c>
      <c r="B20" s="42"/>
      <c r="C20" s="47">
        <v>0.72</v>
      </c>
      <c r="D20" s="41" t="s">
        <v>9</v>
      </c>
      <c r="E20" s="44" t="s">
        <v>31</v>
      </c>
      <c r="F20" s="42"/>
      <c r="G20" s="47">
        <v>0.8</v>
      </c>
      <c r="H20" s="41" t="s">
        <v>9</v>
      </c>
      <c r="I20" s="6"/>
      <c r="J20" s="23"/>
      <c r="K20" s="27"/>
      <c r="L20" s="28">
        <f t="shared" si="0"/>
        <v>1.3089999999999999</v>
      </c>
      <c r="M20" s="31">
        <v>1424</v>
      </c>
      <c r="N20" s="28">
        <v>1.3089999999999999</v>
      </c>
      <c r="O20" s="28"/>
      <c r="P20" s="28"/>
      <c r="Q20" s="28"/>
      <c r="R20" s="29"/>
      <c r="S20" s="14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</row>
    <row r="21" spans="1:34" ht="13.5" thickBot="1">
      <c r="A21" s="176" t="s">
        <v>32</v>
      </c>
      <c r="B21" s="42"/>
      <c r="C21" s="45">
        <v>50</v>
      </c>
      <c r="D21" s="41" t="str">
        <f>$L$30</f>
        <v>'C</v>
      </c>
      <c r="E21" s="44"/>
      <c r="F21" s="44"/>
      <c r="G21" s="48"/>
      <c r="H21" s="44"/>
      <c r="I21" s="6"/>
      <c r="J21" s="23"/>
      <c r="K21" s="27" t="s">
        <v>33</v>
      </c>
      <c r="L21" s="28">
        <f t="shared" si="0"/>
        <v>1.508</v>
      </c>
      <c r="M21" s="31">
        <v>1637</v>
      </c>
      <c r="N21" s="28">
        <v>1.508</v>
      </c>
      <c r="O21" s="28"/>
      <c r="P21" s="28"/>
      <c r="Q21" s="28"/>
      <c r="R21" s="29"/>
      <c r="S21" s="14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6"/>
    </row>
    <row r="22" spans="1:34">
      <c r="A22" s="177"/>
      <c r="B22" s="6"/>
      <c r="C22" s="6"/>
      <c r="D22" s="6"/>
      <c r="E22" s="6"/>
      <c r="F22" s="6"/>
      <c r="G22" s="6"/>
      <c r="H22" s="6"/>
      <c r="I22" s="6"/>
      <c r="J22" s="23"/>
      <c r="K22" s="27" t="s">
        <v>34</v>
      </c>
      <c r="L22" s="28">
        <f t="shared" si="0"/>
        <v>101.35</v>
      </c>
      <c r="M22" s="28">
        <v>14.65</v>
      </c>
      <c r="N22" s="30">
        <v>101.35</v>
      </c>
      <c r="O22" s="28"/>
      <c r="P22" s="28"/>
      <c r="Q22" s="28"/>
      <c r="R22" s="29"/>
      <c r="S22" s="14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6"/>
    </row>
    <row r="23" spans="1:34">
      <c r="A23" s="177"/>
      <c r="B23" s="6"/>
      <c r="C23" s="6"/>
      <c r="D23" s="6"/>
      <c r="E23" s="6"/>
      <c r="F23" s="6"/>
      <c r="G23" s="6"/>
      <c r="H23" s="6"/>
      <c r="I23" s="6"/>
      <c r="J23" s="23"/>
      <c r="K23" s="27" t="s">
        <v>35</v>
      </c>
      <c r="L23" s="28">
        <f t="shared" si="0"/>
        <v>175.868055555556</v>
      </c>
      <c r="M23" s="28">
        <v>4.5304645133198704</v>
      </c>
      <c r="N23" s="30">
        <v>175.868055555556</v>
      </c>
      <c r="O23" s="28"/>
      <c r="P23" s="28"/>
      <c r="Q23" s="28"/>
      <c r="R23" s="29"/>
      <c r="S23" s="14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6"/>
    </row>
    <row r="24" spans="1:34" ht="13.5" thickBot="1">
      <c r="A24" s="178" t="s">
        <v>36</v>
      </c>
      <c r="B24" s="6"/>
      <c r="C24" s="22" t="s">
        <v>37</v>
      </c>
      <c r="D24" s="22"/>
      <c r="E24" s="38" t="s">
        <v>38</v>
      </c>
      <c r="F24" s="22"/>
      <c r="G24" s="38" t="s">
        <v>39</v>
      </c>
      <c r="H24" s="22"/>
      <c r="I24" s="22" t="s">
        <v>40</v>
      </c>
      <c r="J24" s="23"/>
      <c r="K24" s="27" t="s">
        <v>41</v>
      </c>
      <c r="L24" s="28" t="str">
        <f>IF($A$16="M",N24,IF(#REF!=1,K21,M24))</f>
        <v>meters</v>
      </c>
      <c r="M24" s="49" t="s">
        <v>33</v>
      </c>
      <c r="N24" s="49" t="s">
        <v>42</v>
      </c>
      <c r="O24" s="28"/>
      <c r="P24" s="28"/>
      <c r="Q24" s="28"/>
      <c r="R24" s="29"/>
      <c r="S24" s="14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6"/>
    </row>
    <row r="25" spans="1:34" ht="13.5" thickBot="1">
      <c r="A25" s="179">
        <f>$I$107</f>
        <v>0</v>
      </c>
      <c r="B25" s="6"/>
      <c r="C25" s="32">
        <f>(C16+E16)/2</f>
        <v>2153</v>
      </c>
      <c r="D25" s="22" t="str">
        <f>$L$24</f>
        <v>meters</v>
      </c>
      <c r="E25" s="50">
        <v>0.14499999999999999</v>
      </c>
      <c r="F25" s="22" t="s">
        <v>9</v>
      </c>
      <c r="G25" s="32">
        <v>42.8</v>
      </c>
      <c r="H25" s="22" t="s">
        <v>10</v>
      </c>
      <c r="I25" s="40">
        <v>3.8</v>
      </c>
      <c r="J25" s="22" t="str">
        <f>$L$24</f>
        <v>meters</v>
      </c>
      <c r="K25" s="27" t="s">
        <v>43</v>
      </c>
      <c r="L25" s="137" t="str">
        <f>IF($A$16="M",N25,IF(#REF!=1,K22,M25))</f>
        <v>us/m</v>
      </c>
      <c r="M25" s="49" t="s">
        <v>34</v>
      </c>
      <c r="N25" s="49" t="s">
        <v>44</v>
      </c>
      <c r="O25" s="28"/>
      <c r="P25" s="28"/>
      <c r="Q25" s="28"/>
      <c r="R25" s="29"/>
      <c r="S25" s="14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6"/>
    </row>
    <row r="26" spans="1:34">
      <c r="A26" s="170" t="s">
        <v>45</v>
      </c>
      <c r="B26" s="22"/>
      <c r="C26" s="22"/>
      <c r="D26" s="22"/>
      <c r="E26" s="22" t="s">
        <v>46</v>
      </c>
      <c r="F26" s="22"/>
      <c r="G26" s="22"/>
      <c r="H26" s="6"/>
      <c r="I26" s="6"/>
      <c r="J26" s="23"/>
      <c r="K26" s="27" t="s">
        <v>47</v>
      </c>
      <c r="L26" s="137" t="str">
        <f>IF($A$16="M",N26,IF(#REF!=1,K23,M26))</f>
        <v>KPa</v>
      </c>
      <c r="M26" s="49" t="s">
        <v>35</v>
      </c>
      <c r="N26" s="49" t="s">
        <v>48</v>
      </c>
      <c r="O26" s="28"/>
      <c r="P26" s="28"/>
      <c r="Q26" s="28"/>
      <c r="R26" s="29"/>
      <c r="S26" s="14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6"/>
    </row>
    <row r="27" spans="1:34">
      <c r="A27" s="177"/>
      <c r="B27" s="6"/>
      <c r="C27" s="6"/>
      <c r="D27" s="6"/>
      <c r="E27" s="6"/>
      <c r="F27" s="6"/>
      <c r="G27" s="6"/>
      <c r="H27" s="6"/>
      <c r="I27" s="6"/>
      <c r="J27" s="23"/>
      <c r="K27" s="27" t="s">
        <v>49</v>
      </c>
      <c r="L27" s="137" t="str">
        <f>IF($A$16="M",N27,IF(#REF!=1,K24,M27))</f>
        <v>m3/d</v>
      </c>
      <c r="M27" s="49" t="s">
        <v>50</v>
      </c>
      <c r="N27" s="49" t="s">
        <v>51</v>
      </c>
      <c r="O27" s="28"/>
      <c r="P27" s="28"/>
      <c r="Q27" s="28"/>
      <c r="R27" s="29"/>
      <c r="S27" s="14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6"/>
    </row>
    <row r="28" spans="1:34">
      <c r="A28" s="177"/>
      <c r="B28" s="6"/>
      <c r="C28" s="6"/>
      <c r="D28" s="6"/>
      <c r="E28" s="6"/>
      <c r="F28" s="6"/>
      <c r="G28" s="6"/>
      <c r="H28" s="6"/>
      <c r="I28" s="6"/>
      <c r="J28" s="23"/>
      <c r="K28" s="27" t="s">
        <v>7</v>
      </c>
      <c r="L28" s="137" t="str">
        <f>IF($A$16="M",N28,IF(#REF!=1,K25,M28))</f>
        <v>Kg/m3</v>
      </c>
      <c r="M28" s="49" t="s">
        <v>43</v>
      </c>
      <c r="N28" s="49" t="s">
        <v>52</v>
      </c>
      <c r="O28" s="28"/>
      <c r="P28" s="28"/>
      <c r="Q28" s="28"/>
      <c r="R28" s="29"/>
      <c r="S28" s="14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6"/>
    </row>
    <row r="29" spans="1:34">
      <c r="A29" s="177"/>
      <c r="B29" s="6"/>
      <c r="C29" s="6"/>
      <c r="D29" s="6"/>
      <c r="E29" s="6"/>
      <c r="F29" s="6"/>
      <c r="G29" s="6"/>
      <c r="H29" s="6"/>
      <c r="I29" s="6"/>
      <c r="J29" s="23"/>
      <c r="K29" s="27" t="s">
        <v>53</v>
      </c>
      <c r="L29" s="137" t="str">
        <f>IF($A$16="M",N29,IF(#REF!=1,K26,M29))</f>
        <v>mm</v>
      </c>
      <c r="M29" s="49" t="s">
        <v>47</v>
      </c>
      <c r="N29" s="49" t="s">
        <v>54</v>
      </c>
      <c r="O29" s="28"/>
      <c r="P29" s="28"/>
      <c r="Q29" s="28"/>
      <c r="R29" s="29"/>
      <c r="S29" s="14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6"/>
    </row>
    <row r="30" spans="1:34">
      <c r="A30" s="177"/>
      <c r="B30" s="6"/>
      <c r="C30" s="6"/>
      <c r="D30" s="6"/>
      <c r="E30" s="6"/>
      <c r="F30" s="6"/>
      <c r="G30" s="6"/>
      <c r="H30" s="6"/>
      <c r="I30" s="6"/>
      <c r="J30" s="23"/>
      <c r="K30" s="27" t="s">
        <v>55</v>
      </c>
      <c r="L30" s="137" t="str">
        <f>IF($A$16="M",N30,IF(#REF!=1,K27,M30))</f>
        <v>'C</v>
      </c>
      <c r="M30" s="49" t="s">
        <v>49</v>
      </c>
      <c r="N30" s="49" t="s">
        <v>56</v>
      </c>
      <c r="O30" s="28"/>
      <c r="P30" s="28"/>
      <c r="Q30" s="28"/>
      <c r="R30" s="29"/>
      <c r="S30" s="14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6"/>
    </row>
    <row r="31" spans="1:34">
      <c r="A31" s="177"/>
      <c r="B31" s="6"/>
      <c r="C31" s="6"/>
      <c r="D31" s="6"/>
      <c r="E31" s="6"/>
      <c r="F31" s="6"/>
      <c r="G31" s="6"/>
      <c r="H31" s="6"/>
      <c r="I31" s="6"/>
      <c r="J31" s="23"/>
      <c r="K31" s="27" t="s">
        <v>57</v>
      </c>
      <c r="L31" s="137" t="str">
        <f>IF($A$16="M",N31,IF(#REF!=1,K28,M31))</f>
        <v>Metric</v>
      </c>
      <c r="M31" s="49" t="s">
        <v>7</v>
      </c>
      <c r="N31" s="49" t="s">
        <v>58</v>
      </c>
      <c r="O31" s="28"/>
      <c r="P31" s="28"/>
      <c r="Q31" s="28"/>
      <c r="R31" s="29"/>
      <c r="S31" s="14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6"/>
    </row>
    <row r="32" spans="1:34">
      <c r="A32" s="170"/>
      <c r="B32" s="22"/>
      <c r="C32" s="22"/>
      <c r="D32" s="22"/>
      <c r="E32" s="22"/>
      <c r="F32" s="22"/>
      <c r="G32" s="22"/>
      <c r="H32" s="22"/>
      <c r="I32" s="22"/>
      <c r="J32" s="23"/>
      <c r="K32" s="27" t="s">
        <v>59</v>
      </c>
      <c r="L32" s="137" t="str">
        <f>IF($A$16="M",N32,IF(#REF!=1,K29,M32))</f>
        <v>md-m</v>
      </c>
      <c r="M32" s="49" t="s">
        <v>53</v>
      </c>
      <c r="N32" s="49" t="s">
        <v>60</v>
      </c>
      <c r="O32" s="28"/>
      <c r="P32" s="28"/>
      <c r="Q32" s="51"/>
      <c r="R32" s="52"/>
      <c r="S32" s="14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15"/>
      <c r="AF32" s="15"/>
      <c r="AG32" s="15"/>
      <c r="AH32" s="6"/>
    </row>
    <row r="33" spans="1:34">
      <c r="A33" s="180" t="s">
        <v>61</v>
      </c>
      <c r="B33" s="54"/>
      <c r="C33" s="54"/>
      <c r="D33" s="54"/>
      <c r="E33" s="54"/>
      <c r="F33" s="54"/>
      <c r="G33" s="54"/>
      <c r="H33" s="55"/>
      <c r="I33" s="22"/>
      <c r="J33" s="23"/>
      <c r="K33" s="27" t="s">
        <v>62</v>
      </c>
      <c r="L33" s="137" t="str">
        <f>IF($A$16="M",N33,IF(#REF!=1,K30,M33))</f>
        <v>m3</v>
      </c>
      <c r="M33" s="49" t="s">
        <v>63</v>
      </c>
      <c r="N33" s="49" t="s">
        <v>64</v>
      </c>
      <c r="O33" s="28"/>
      <c r="P33" s="28"/>
      <c r="Q33" s="28"/>
      <c r="R33" s="29"/>
      <c r="S33" s="14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15"/>
      <c r="AF33" s="15"/>
      <c r="AG33" s="15"/>
      <c r="AH33" s="6"/>
    </row>
    <row r="34" spans="1:34">
      <c r="A34" s="181"/>
      <c r="B34" s="56"/>
      <c r="C34" s="56"/>
      <c r="D34" s="56"/>
      <c r="E34" s="56"/>
      <c r="F34" s="56"/>
      <c r="G34" s="56"/>
      <c r="H34" s="57"/>
      <c r="I34" s="22"/>
      <c r="J34" s="23"/>
      <c r="K34" s="27" t="s">
        <v>65</v>
      </c>
      <c r="L34" s="137" t="str">
        <f>IF($A$16="M",N34,IF(#REF!=1,K31,M34))</f>
        <v>$/m3</v>
      </c>
      <c r="M34" s="49" t="s">
        <v>66</v>
      </c>
      <c r="N34" s="49" t="s">
        <v>67</v>
      </c>
      <c r="O34" s="28"/>
      <c r="P34" s="28"/>
      <c r="Q34" s="28"/>
      <c r="R34" s="29"/>
      <c r="S34" s="14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15"/>
      <c r="AF34" s="15"/>
      <c r="AG34" s="15"/>
      <c r="AH34" s="6"/>
    </row>
    <row r="35" spans="1:34">
      <c r="A35" s="181" t="s">
        <v>68</v>
      </c>
      <c r="B35" s="56"/>
      <c r="C35" s="56"/>
      <c r="D35" s="56"/>
      <c r="E35" s="56"/>
      <c r="F35" s="56"/>
      <c r="G35" s="56"/>
      <c r="H35" s="57"/>
      <c r="I35" s="22"/>
      <c r="J35" s="23"/>
      <c r="K35" s="27" t="s">
        <v>69</v>
      </c>
      <c r="L35" s="137" t="str">
        <f>IF($A$16="M",N35,IF(#REF!=1,K32,M35))</f>
        <v>m3/KPa</v>
      </c>
      <c r="M35" s="49" t="s">
        <v>59</v>
      </c>
      <c r="N35" s="49" t="s">
        <v>70</v>
      </c>
      <c r="O35" s="28"/>
      <c r="P35" s="28"/>
      <c r="Q35" s="28"/>
      <c r="R35" s="29"/>
      <c r="S35" s="14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15"/>
      <c r="AF35" s="15"/>
      <c r="AG35" s="15"/>
      <c r="AH35" s="6"/>
    </row>
    <row r="36" spans="1:34">
      <c r="A36" s="181" t="s">
        <v>71</v>
      </c>
      <c r="B36" s="56"/>
      <c r="C36" s="56"/>
      <c r="D36" s="56"/>
      <c r="E36" s="56"/>
      <c r="F36" s="56"/>
      <c r="G36" s="56"/>
      <c r="H36" s="57"/>
      <c r="I36" s="22"/>
      <c r="J36" s="23"/>
      <c r="K36" s="27" t="s">
        <v>72</v>
      </c>
      <c r="L36" s="137" t="str">
        <f>IF($A$16="M",N36,IF(#REF!=1,K33,M36))</f>
        <v>1000bbl</v>
      </c>
      <c r="M36" s="49" t="s">
        <v>73</v>
      </c>
      <c r="N36" s="49" t="s">
        <v>73</v>
      </c>
      <c r="O36" s="28"/>
      <c r="P36" s="28"/>
      <c r="Q36" s="28"/>
      <c r="R36" s="29"/>
      <c r="S36" s="14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15"/>
      <c r="AF36" s="15"/>
      <c r="AG36" s="15"/>
      <c r="AH36" s="6"/>
    </row>
    <row r="37" spans="1:34">
      <c r="A37" s="181"/>
      <c r="B37" s="56"/>
      <c r="C37" s="56"/>
      <c r="D37" s="56"/>
      <c r="E37" s="56"/>
      <c r="F37" s="56"/>
      <c r="G37" s="56"/>
      <c r="H37" s="57"/>
      <c r="I37" s="22"/>
      <c r="J37" s="23"/>
      <c r="K37" s="27" t="s">
        <v>74</v>
      </c>
      <c r="L37" s="137" t="str">
        <f>IF($A$16="M",N37,IF(#REF!=1,K34,M37))</f>
        <v xml:space="preserve"> bbl/d</v>
      </c>
      <c r="M37" s="49" t="s">
        <v>75</v>
      </c>
      <c r="N37" s="49" t="s">
        <v>75</v>
      </c>
      <c r="O37" s="28"/>
      <c r="P37" s="28"/>
      <c r="Q37" s="28"/>
      <c r="R37" s="29"/>
      <c r="S37" s="14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15"/>
      <c r="AF37" s="15"/>
      <c r="AG37" s="15"/>
      <c r="AH37" s="6"/>
    </row>
    <row r="38" spans="1:34">
      <c r="A38" s="182"/>
      <c r="B38" s="58"/>
      <c r="C38" s="58"/>
      <c r="D38" s="58"/>
      <c r="E38" s="58"/>
      <c r="F38" s="58"/>
      <c r="G38" s="58"/>
      <c r="H38" s="59"/>
      <c r="I38" s="22"/>
      <c r="J38" s="23"/>
      <c r="K38" s="60"/>
      <c r="L38" s="28" t="str">
        <f>IF($A$16="M",N38,M38)</f>
        <v>m3</v>
      </c>
      <c r="M38" s="49" t="s">
        <v>63</v>
      </c>
      <c r="N38" s="49" t="s">
        <v>64</v>
      </c>
      <c r="O38" s="28"/>
      <c r="P38" s="28"/>
      <c r="Q38" s="28"/>
      <c r="R38" s="29"/>
      <c r="S38" s="14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15"/>
      <c r="AF38" s="15"/>
      <c r="AG38" s="15"/>
      <c r="AH38" s="6"/>
    </row>
    <row r="39" spans="1:34">
      <c r="A39" s="183"/>
      <c r="B39" s="61"/>
      <c r="C39" s="61"/>
      <c r="D39" s="61"/>
      <c r="E39" s="61"/>
      <c r="F39" s="61"/>
      <c r="G39" s="61"/>
      <c r="H39" s="38"/>
      <c r="I39" s="22"/>
      <c r="J39" s="23"/>
      <c r="K39" s="60"/>
      <c r="L39" s="28" t="str">
        <f>IF($A$16="M",N39,M39)</f>
        <v xml:space="preserve">  Oil</v>
      </c>
      <c r="M39" s="49" t="s">
        <v>76</v>
      </c>
      <c r="N39" s="49" t="s">
        <v>76</v>
      </c>
      <c r="O39" s="28"/>
      <c r="P39" s="28"/>
      <c r="Q39" s="28"/>
      <c r="R39" s="29"/>
      <c r="S39" s="14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15"/>
      <c r="AF39" s="15"/>
      <c r="AG39" s="15"/>
      <c r="AH39" s="6"/>
    </row>
    <row r="40" spans="1:34">
      <c r="A40" s="183"/>
      <c r="B40" s="38"/>
      <c r="C40" s="38"/>
      <c r="D40" s="38"/>
      <c r="E40" s="38"/>
      <c r="F40" s="38"/>
      <c r="G40" s="38"/>
      <c r="H40" s="38"/>
      <c r="I40" s="22"/>
      <c r="J40" s="23"/>
      <c r="K40" s="60"/>
      <c r="L40" s="28" t="str">
        <f>IF($A$16="M",N40,M40)</f>
        <v>10^3m3</v>
      </c>
      <c r="M40" s="49" t="s">
        <v>77</v>
      </c>
      <c r="N40" s="49" t="s">
        <v>77</v>
      </c>
      <c r="O40" s="28"/>
      <c r="P40" s="28"/>
      <c r="Q40" s="28"/>
      <c r="R40" s="29"/>
      <c r="S40" s="14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15"/>
      <c r="AF40" s="15"/>
      <c r="AG40" s="15"/>
      <c r="AH40" s="6"/>
    </row>
    <row r="41" spans="1:34" ht="13.5" thickBot="1">
      <c r="A41" s="170" t="s">
        <v>78</v>
      </c>
      <c r="B41" s="22" t="s">
        <v>79</v>
      </c>
      <c r="C41" s="22" t="s">
        <v>79</v>
      </c>
      <c r="D41" s="22" t="s">
        <v>79</v>
      </c>
      <c r="E41" s="22" t="s">
        <v>79</v>
      </c>
      <c r="F41" s="22" t="s">
        <v>79</v>
      </c>
      <c r="G41" s="22" t="s">
        <v>79</v>
      </c>
      <c r="H41" s="22" t="s">
        <v>79</v>
      </c>
      <c r="I41" s="22" t="s">
        <v>79</v>
      </c>
      <c r="J41" s="22" t="s">
        <v>80</v>
      </c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6"/>
    </row>
    <row r="42" spans="1:34" ht="15.75">
      <c r="A42" s="184"/>
      <c r="B42" s="62"/>
      <c r="C42" s="62" t="s">
        <v>81</v>
      </c>
      <c r="D42" s="62"/>
      <c r="E42" s="62"/>
      <c r="F42" s="62"/>
      <c r="G42" s="62"/>
      <c r="H42" s="62"/>
      <c r="I42" s="62"/>
      <c r="J42" s="63"/>
      <c r="K42" s="62"/>
      <c r="L42" s="64"/>
      <c r="M42" s="62"/>
      <c r="N42" s="62"/>
      <c r="O42" s="62"/>
      <c r="P42" s="65" t="s">
        <v>82</v>
      </c>
      <c r="Q42" s="65"/>
      <c r="R42" s="62"/>
      <c r="S42" s="62"/>
      <c r="T42" s="62"/>
      <c r="U42" s="62"/>
      <c r="V42" s="62"/>
      <c r="W42" s="62"/>
      <c r="X42" s="62"/>
      <c r="Y42" s="62"/>
      <c r="Z42" s="62" t="s">
        <v>83</v>
      </c>
      <c r="AA42" s="62"/>
      <c r="AB42" s="62"/>
      <c r="AC42" s="62"/>
      <c r="AD42" s="62"/>
      <c r="AE42" s="62"/>
      <c r="AF42" s="62"/>
      <c r="AG42" s="63" t="s">
        <v>84</v>
      </c>
      <c r="AH42" s="6"/>
    </row>
    <row r="43" spans="1:34" ht="16.5" thickBot="1">
      <c r="A43" s="185" t="s">
        <v>85</v>
      </c>
      <c r="B43" s="67"/>
      <c r="C43" s="67"/>
      <c r="D43" s="67"/>
      <c r="E43" s="67"/>
      <c r="F43" s="67"/>
      <c r="G43" s="67"/>
      <c r="H43" s="67"/>
      <c r="I43" s="67"/>
      <c r="J43" s="68"/>
      <c r="K43" s="67"/>
      <c r="L43" s="66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9" t="s">
        <v>84</v>
      </c>
      <c r="AH43" s="6"/>
    </row>
    <row r="44" spans="1:34" ht="13.5" thickBot="1">
      <c r="A44" s="186"/>
      <c r="B44" s="71"/>
      <c r="C44" s="72"/>
      <c r="D44" s="72"/>
      <c r="E44" s="72"/>
      <c r="F44" s="72"/>
      <c r="G44" s="72"/>
      <c r="H44" s="72"/>
      <c r="I44" s="72"/>
      <c r="J44" s="73"/>
      <c r="K44" s="70"/>
      <c r="L44" s="71"/>
      <c r="M44" s="72"/>
      <c r="N44" s="72"/>
      <c r="O44" s="72"/>
      <c r="P44" s="72"/>
      <c r="Q44" s="72"/>
      <c r="R44" s="72"/>
      <c r="S44" s="72"/>
      <c r="T44" s="72"/>
      <c r="U44" s="73"/>
      <c r="V44" s="74"/>
      <c r="W44" s="75"/>
      <c r="X44" s="48"/>
      <c r="Y44" s="48"/>
      <c r="Z44" s="48"/>
      <c r="AA44" s="48"/>
      <c r="AB44" s="48"/>
      <c r="AC44" s="48"/>
      <c r="AD44" s="48"/>
      <c r="AE44" s="48"/>
      <c r="AF44" s="74"/>
      <c r="AG44" s="76"/>
      <c r="AH44" s="6"/>
    </row>
    <row r="45" spans="1:34" ht="13.5" thickBot="1">
      <c r="A45" s="187" t="s">
        <v>86</v>
      </c>
      <c r="B45" s="78"/>
      <c r="C45" s="79">
        <f>B16</f>
        <v>1</v>
      </c>
      <c r="D45" s="78"/>
      <c r="E45" s="80"/>
      <c r="F45" s="80"/>
      <c r="G45" s="80" t="s">
        <v>87</v>
      </c>
      <c r="H45" s="80"/>
      <c r="I45" s="81">
        <f>C16</f>
        <v>2152</v>
      </c>
      <c r="J45" s="82" t="str">
        <f>$K$24</f>
        <v>Mcf/d</v>
      </c>
      <c r="K45" s="77" t="s">
        <v>88</v>
      </c>
      <c r="L45" s="78"/>
      <c r="M45" s="83">
        <f>$C$45</f>
        <v>1</v>
      </c>
      <c r="N45" s="78"/>
      <c r="O45" s="80"/>
      <c r="P45" s="80"/>
      <c r="Q45" s="80" t="s">
        <v>87</v>
      </c>
      <c r="R45" s="80"/>
      <c r="S45" s="84">
        <f>$I$45</f>
        <v>2152</v>
      </c>
      <c r="T45" s="78" t="str">
        <f>$L$24</f>
        <v>meters</v>
      </c>
      <c r="U45" s="82"/>
      <c r="V45" s="85"/>
      <c r="W45" s="42"/>
      <c r="X45" s="44"/>
      <c r="Y45" s="44"/>
      <c r="Z45" s="44"/>
      <c r="AA45" s="44"/>
      <c r="AB45" s="44"/>
      <c r="AC45" s="44"/>
      <c r="AD45" s="44"/>
      <c r="AE45" s="44"/>
      <c r="AF45" s="85"/>
      <c r="AG45" s="76"/>
      <c r="AH45" s="6"/>
    </row>
    <row r="46" spans="1:34" ht="13.5" thickBot="1">
      <c r="A46" s="188"/>
      <c r="B46" s="87"/>
      <c r="C46" s="88"/>
      <c r="D46" s="88"/>
      <c r="E46" s="88"/>
      <c r="F46" s="88"/>
      <c r="G46" s="88"/>
      <c r="H46" s="88" t="s">
        <v>89</v>
      </c>
      <c r="I46" s="89">
        <f>E16</f>
        <v>2154</v>
      </c>
      <c r="J46" s="90" t="str">
        <f>$K$24</f>
        <v>Mcf/d</v>
      </c>
      <c r="K46" s="86"/>
      <c r="L46" s="87"/>
      <c r="M46" s="88"/>
      <c r="N46" s="88"/>
      <c r="O46" s="88"/>
      <c r="P46" s="88"/>
      <c r="Q46" s="88"/>
      <c r="R46" s="88" t="s">
        <v>89</v>
      </c>
      <c r="S46" s="91">
        <f>$I$46</f>
        <v>2154</v>
      </c>
      <c r="T46" s="87" t="str">
        <f>$L$24</f>
        <v>meters</v>
      </c>
      <c r="U46" s="90"/>
      <c r="V46" s="85"/>
      <c r="W46" s="42"/>
      <c r="X46" s="44"/>
      <c r="Y46" s="44"/>
      <c r="Z46" s="44"/>
      <c r="AA46" s="44"/>
      <c r="AB46" s="44"/>
      <c r="AC46" s="44"/>
      <c r="AD46" s="44"/>
      <c r="AE46" s="44"/>
      <c r="AF46" s="85"/>
      <c r="AG46" s="76"/>
      <c r="AH46" s="6"/>
    </row>
    <row r="47" spans="1:34">
      <c r="A47" s="189"/>
      <c r="B47" s="48"/>
      <c r="C47" s="93"/>
      <c r="D47" s="94"/>
      <c r="E47" s="48"/>
      <c r="F47" s="48"/>
      <c r="G47" s="48"/>
      <c r="H47" s="48"/>
      <c r="I47" s="95"/>
      <c r="J47" s="96"/>
      <c r="K47" s="92"/>
      <c r="L47" s="48"/>
      <c r="M47" s="48"/>
      <c r="N47" s="48"/>
      <c r="O47" s="48"/>
      <c r="P47" s="48"/>
      <c r="Q47" s="48"/>
      <c r="R47" s="48"/>
      <c r="S47" s="48"/>
      <c r="T47" s="48"/>
      <c r="U47" s="75"/>
      <c r="V47" s="85"/>
      <c r="W47" s="42"/>
      <c r="X47" s="44"/>
      <c r="Y47" s="44"/>
      <c r="Z47" s="44"/>
      <c r="AA47" s="44"/>
      <c r="AB47" s="44"/>
      <c r="AC47" s="44"/>
      <c r="AD47" s="44"/>
      <c r="AE47" s="44"/>
      <c r="AF47" s="85"/>
      <c r="AG47" s="76"/>
      <c r="AH47" s="6"/>
    </row>
    <row r="48" spans="1:34" ht="13.5" thickBot="1">
      <c r="A48" s="176"/>
      <c r="B48" s="44" t="s">
        <v>90</v>
      </c>
      <c r="C48" s="44"/>
      <c r="D48" s="97"/>
      <c r="E48" s="44"/>
      <c r="F48" s="44" t="s">
        <v>91</v>
      </c>
      <c r="G48" s="44"/>
      <c r="H48" s="97"/>
      <c r="I48" s="44"/>
      <c r="J48" s="42"/>
      <c r="K48" s="41"/>
      <c r="L48" s="44"/>
      <c r="M48" s="44"/>
      <c r="N48" s="44"/>
      <c r="O48" s="44"/>
      <c r="P48" s="44" t="s">
        <v>92</v>
      </c>
      <c r="Q48" s="44"/>
      <c r="R48" s="44"/>
      <c r="S48" s="44" t="s">
        <v>93</v>
      </c>
      <c r="T48" s="44"/>
      <c r="U48" s="42"/>
      <c r="V48" s="85"/>
      <c r="W48" s="42"/>
      <c r="X48" s="44"/>
      <c r="Y48" s="44"/>
      <c r="Z48" s="44"/>
      <c r="AA48" s="44"/>
      <c r="AB48" s="44"/>
      <c r="AC48" s="44"/>
      <c r="AD48" s="44"/>
      <c r="AE48" s="44"/>
      <c r="AF48" s="85"/>
      <c r="AG48" s="76"/>
      <c r="AH48" s="6"/>
    </row>
    <row r="49" spans="1:34" ht="13.5" thickBot="1">
      <c r="A49" s="176"/>
      <c r="B49" s="44" t="s">
        <v>94</v>
      </c>
      <c r="C49" s="42"/>
      <c r="D49" s="43">
        <v>30</v>
      </c>
      <c r="E49" s="41" t="s">
        <v>95</v>
      </c>
      <c r="F49" s="44" t="s">
        <v>96</v>
      </c>
      <c r="G49" s="42"/>
      <c r="H49" s="43">
        <v>90</v>
      </c>
      <c r="I49" s="41" t="s">
        <v>95</v>
      </c>
      <c r="J49" s="76"/>
      <c r="K49" s="41" t="s">
        <v>97</v>
      </c>
      <c r="L49" s="44"/>
      <c r="M49" s="44"/>
      <c r="N49" s="44"/>
      <c r="O49" s="44"/>
      <c r="P49" s="98">
        <f>MAXA(C55:C74)</f>
        <v>21371</v>
      </c>
      <c r="Q49" s="99" t="str">
        <f>$L$26</f>
        <v>KPa</v>
      </c>
      <c r="R49" s="99"/>
      <c r="S49" s="99">
        <f>MAXA(G55:G74)</f>
        <v>21343</v>
      </c>
      <c r="T49" s="100" t="str">
        <f>$L$26</f>
        <v>KPa</v>
      </c>
      <c r="U49" s="42"/>
      <c r="V49" s="85"/>
      <c r="W49" s="42"/>
      <c r="X49" s="44"/>
      <c r="Y49" s="44"/>
      <c r="Z49" s="44"/>
      <c r="AA49" s="44"/>
      <c r="AB49" s="44"/>
      <c r="AC49" s="44"/>
      <c r="AD49" s="44"/>
      <c r="AE49" s="44"/>
      <c r="AF49" s="85"/>
      <c r="AG49" s="76"/>
      <c r="AH49" s="6"/>
    </row>
    <row r="50" spans="1:34">
      <c r="A50" s="176"/>
      <c r="B50" s="44"/>
      <c r="C50" s="44"/>
      <c r="D50" s="48"/>
      <c r="E50" s="44"/>
      <c r="F50" s="44"/>
      <c r="G50" s="44"/>
      <c r="H50" s="48"/>
      <c r="I50" s="44"/>
      <c r="J50" s="76"/>
      <c r="K50" s="41" t="s">
        <v>98</v>
      </c>
      <c r="L50" s="44"/>
      <c r="M50" s="44"/>
      <c r="N50" s="44"/>
      <c r="O50" s="44"/>
      <c r="P50" s="98">
        <f>C55</f>
        <v>3900</v>
      </c>
      <c r="Q50" s="99" t="str">
        <f>$L$26</f>
        <v>KPa</v>
      </c>
      <c r="R50" s="99"/>
      <c r="S50" s="99">
        <f>G55</f>
        <v>10500</v>
      </c>
      <c r="T50" s="100" t="str">
        <f>$L$26</f>
        <v>KPa</v>
      </c>
      <c r="U50" s="42"/>
      <c r="V50" s="85"/>
      <c r="W50" s="42"/>
      <c r="X50" s="44"/>
      <c r="Y50" s="44"/>
      <c r="Z50" s="44"/>
      <c r="AA50" s="44"/>
      <c r="AB50" s="44"/>
      <c r="AC50" s="44"/>
      <c r="AD50" s="44"/>
      <c r="AE50" s="44"/>
      <c r="AF50" s="85"/>
      <c r="AG50" s="76"/>
      <c r="AH50" s="6"/>
    </row>
    <row r="51" spans="1:34">
      <c r="A51" s="176"/>
      <c r="B51" s="44" t="s">
        <v>99</v>
      </c>
      <c r="C51" s="44" t="s">
        <v>100</v>
      </c>
      <c r="D51" s="44" t="s">
        <v>101</v>
      </c>
      <c r="E51" s="44"/>
      <c r="F51" s="44" t="s">
        <v>99</v>
      </c>
      <c r="G51" s="44" t="s">
        <v>100</v>
      </c>
      <c r="H51" s="44" t="s">
        <v>101</v>
      </c>
      <c r="I51" s="44"/>
      <c r="J51" s="76"/>
      <c r="K51" s="41" t="s">
        <v>102</v>
      </c>
      <c r="L51" s="44"/>
      <c r="M51" s="44"/>
      <c r="N51" s="44"/>
      <c r="O51" s="44"/>
      <c r="P51" s="98">
        <f>MAXA(B55:B74)</f>
        <v>45</v>
      </c>
      <c r="Q51" s="99" t="s">
        <v>103</v>
      </c>
      <c r="R51" s="99"/>
      <c r="S51" s="99">
        <f>MAXA(F55:F74)</f>
        <v>60</v>
      </c>
      <c r="T51" s="100" t="s">
        <v>103</v>
      </c>
      <c r="U51" s="42"/>
      <c r="V51" s="85"/>
      <c r="W51" s="42"/>
      <c r="X51" s="44"/>
      <c r="Y51" s="44"/>
      <c r="Z51" s="44"/>
      <c r="AA51" s="44"/>
      <c r="AB51" s="44"/>
      <c r="AC51" s="44"/>
      <c r="AD51" s="44"/>
      <c r="AE51" s="44"/>
      <c r="AF51" s="85"/>
      <c r="AG51" s="76"/>
      <c r="AH51" s="6"/>
    </row>
    <row r="52" spans="1:34">
      <c r="A52" s="176"/>
      <c r="B52" s="44" t="s">
        <v>104</v>
      </c>
      <c r="C52" s="101" t="str">
        <f>$L$26</f>
        <v>KPa</v>
      </c>
      <c r="D52" s="100" t="s">
        <v>105</v>
      </c>
      <c r="E52" s="44"/>
      <c r="F52" s="44" t="s">
        <v>104</v>
      </c>
      <c r="G52" s="101" t="str">
        <f>$L$26</f>
        <v>KPa</v>
      </c>
      <c r="H52" s="100" t="s">
        <v>105</v>
      </c>
      <c r="I52" s="44"/>
      <c r="J52" s="42"/>
      <c r="K52" s="41" t="s">
        <v>106</v>
      </c>
      <c r="L52" s="44"/>
      <c r="M52" s="44"/>
      <c r="N52" s="44"/>
      <c r="O52" s="44"/>
      <c r="P52" s="98">
        <f>D49</f>
        <v>30</v>
      </c>
      <c r="Q52" s="99" t="s">
        <v>103</v>
      </c>
      <c r="R52" s="99"/>
      <c r="S52" s="99">
        <f>H49</f>
        <v>90</v>
      </c>
      <c r="T52" s="100" t="s">
        <v>103</v>
      </c>
      <c r="U52" s="42"/>
      <c r="V52" s="85"/>
      <c r="W52" s="42"/>
      <c r="X52" s="44"/>
      <c r="Y52" s="44"/>
      <c r="Z52" s="44"/>
      <c r="AA52" s="44"/>
      <c r="AB52" s="44"/>
      <c r="AC52" s="44"/>
      <c r="AD52" s="44"/>
      <c r="AE52" s="44"/>
      <c r="AF52" s="85"/>
      <c r="AG52" s="76"/>
      <c r="AH52" s="6"/>
    </row>
    <row r="53" spans="1:34" ht="13.5" thickBot="1">
      <c r="A53" s="176" t="s">
        <v>107</v>
      </c>
      <c r="B53" s="44"/>
      <c r="C53" s="44"/>
      <c r="D53" s="44"/>
      <c r="E53" s="44"/>
      <c r="F53" s="44"/>
      <c r="G53" s="44"/>
      <c r="H53" s="44"/>
      <c r="I53" s="44"/>
      <c r="J53" s="42"/>
      <c r="K53" s="102"/>
      <c r="L53" s="97"/>
      <c r="M53" s="97"/>
      <c r="N53" s="97"/>
      <c r="O53" s="97"/>
      <c r="P53" s="97"/>
      <c r="Q53" s="97"/>
      <c r="R53" s="97"/>
      <c r="S53" s="97"/>
      <c r="T53" s="97"/>
      <c r="U53" s="103"/>
      <c r="V53" s="85"/>
      <c r="W53" s="42"/>
      <c r="X53" s="44"/>
      <c r="Y53" s="44"/>
      <c r="Z53" s="44"/>
      <c r="AA53" s="44"/>
      <c r="AB53" s="44"/>
      <c r="AC53" s="44"/>
      <c r="AD53" s="44"/>
      <c r="AE53" s="44"/>
      <c r="AF53" s="85"/>
      <c r="AG53" s="76"/>
      <c r="AH53" s="6"/>
    </row>
    <row r="54" spans="1:34" ht="13.5" thickBot="1">
      <c r="A54" s="176"/>
      <c r="B54" s="97"/>
      <c r="C54" s="97"/>
      <c r="D54" s="44"/>
      <c r="E54" s="44"/>
      <c r="F54" s="97"/>
      <c r="G54" s="97"/>
      <c r="H54" s="44"/>
      <c r="I54" s="44"/>
      <c r="J54" s="42"/>
      <c r="K54" s="104"/>
      <c r="L54" s="105"/>
      <c r="M54" s="106"/>
      <c r="N54" s="106" t="s">
        <v>108</v>
      </c>
      <c r="O54" s="106"/>
      <c r="P54" s="106"/>
      <c r="Q54" s="106"/>
      <c r="R54" s="106"/>
      <c r="S54" s="106"/>
      <c r="T54" s="106"/>
      <c r="U54" s="107"/>
      <c r="V54" s="85"/>
      <c r="W54" s="42"/>
      <c r="X54" s="44"/>
      <c r="Y54" s="44"/>
      <c r="Z54" s="44"/>
      <c r="AA54" s="44"/>
      <c r="AB54" s="44"/>
      <c r="AC54" s="44"/>
      <c r="AD54" s="44"/>
      <c r="AE54" s="44"/>
      <c r="AF54" s="85"/>
      <c r="AG54" s="76"/>
      <c r="AH54" s="6"/>
    </row>
    <row r="55" spans="1:34" ht="13.5" thickBot="1">
      <c r="A55" s="190">
        <v>1</v>
      </c>
      <c r="B55" s="45">
        <v>0</v>
      </c>
      <c r="C55" s="108">
        <v>3900</v>
      </c>
      <c r="D55" s="41"/>
      <c r="E55" s="42"/>
      <c r="F55" s="45">
        <v>0</v>
      </c>
      <c r="G55" s="108">
        <v>10500</v>
      </c>
      <c r="H55" s="41"/>
      <c r="I55" s="44"/>
      <c r="J55" s="42"/>
      <c r="K55" s="92"/>
      <c r="L55" s="48"/>
      <c r="M55" s="48" t="s">
        <v>109</v>
      </c>
      <c r="N55" s="48"/>
      <c r="O55" s="48"/>
      <c r="P55" s="109"/>
      <c r="Q55" s="48"/>
      <c r="R55" s="48"/>
      <c r="S55" s="109"/>
      <c r="T55" s="48"/>
      <c r="U55" s="75"/>
      <c r="V55" s="85"/>
      <c r="W55" s="42"/>
      <c r="X55" s="44"/>
      <c r="Y55" s="44"/>
      <c r="Z55" s="99"/>
      <c r="AA55" s="99"/>
      <c r="AB55" s="99"/>
      <c r="AC55" s="99"/>
      <c r="AD55" s="44"/>
      <c r="AE55" s="99"/>
      <c r="AF55" s="110"/>
      <c r="AG55" s="76"/>
      <c r="AH55" s="6"/>
    </row>
    <row r="56" spans="1:34" ht="13.5" thickBot="1">
      <c r="A56" s="190">
        <v>2</v>
      </c>
      <c r="B56" s="45">
        <v>3</v>
      </c>
      <c r="C56" s="108">
        <v>17185</v>
      </c>
      <c r="D56" s="41">
        <f t="shared" ref="D56:D74" si="1">LOG(IF(B56,($D$49+B56)/B56,10^10))</f>
        <v>1.0413926851582251</v>
      </c>
      <c r="E56" s="42"/>
      <c r="F56" s="45">
        <v>5</v>
      </c>
      <c r="G56" s="108">
        <v>15400.0000002</v>
      </c>
      <c r="H56" s="41">
        <f t="shared" ref="H56:H74" si="2">LOG(IF(F56,($D$49+$H$49+F56)/F56,10^10))</f>
        <v>1.3979400086720377</v>
      </c>
      <c r="I56" s="44"/>
      <c r="J56" s="42"/>
      <c r="K56" s="41" t="s">
        <v>110</v>
      </c>
      <c r="L56" s="44"/>
      <c r="M56" s="44"/>
      <c r="N56" s="44"/>
      <c r="O56" s="111" t="s">
        <v>111</v>
      </c>
      <c r="P56" s="45">
        <f>C59</f>
        <v>21231</v>
      </c>
      <c r="Q56" s="41" t="str">
        <f>$L$26</f>
        <v>KPa</v>
      </c>
      <c r="R56" s="42"/>
      <c r="S56" s="45">
        <f>G61</f>
        <v>21266</v>
      </c>
      <c r="T56" s="41" t="str">
        <f>$L$26</f>
        <v>KPa</v>
      </c>
      <c r="U56" s="42"/>
      <c r="V56" s="85"/>
      <c r="W56" s="42"/>
      <c r="X56" s="44"/>
      <c r="Y56" s="44"/>
      <c r="Z56" s="44"/>
      <c r="AA56" s="44"/>
      <c r="AB56" s="44"/>
      <c r="AC56" s="44"/>
      <c r="AD56" s="44"/>
      <c r="AE56" s="44"/>
      <c r="AF56" s="85"/>
      <c r="AG56" s="76"/>
      <c r="AH56" s="6"/>
    </row>
    <row r="57" spans="1:34" ht="13.5" thickBot="1">
      <c r="A57" s="190">
        <v>3</v>
      </c>
      <c r="B57" s="45">
        <v>6</v>
      </c>
      <c r="C57" s="108">
        <v>20629</v>
      </c>
      <c r="D57" s="41">
        <f t="shared" si="1"/>
        <v>0.77815125038364363</v>
      </c>
      <c r="E57" s="42"/>
      <c r="F57" s="45">
        <v>10</v>
      </c>
      <c r="G57" s="108">
        <v>17969</v>
      </c>
      <c r="H57" s="41">
        <f t="shared" si="2"/>
        <v>1.1139433523068367</v>
      </c>
      <c r="I57" s="44"/>
      <c r="J57" s="42"/>
      <c r="K57" s="41" t="s">
        <v>112</v>
      </c>
      <c r="L57" s="44"/>
      <c r="M57" s="44"/>
      <c r="N57" s="44"/>
      <c r="O57" s="44"/>
      <c r="P57" s="112">
        <f>MAXA(C55:C74)</f>
        <v>21371</v>
      </c>
      <c r="Q57" s="100" t="str">
        <f>$L$26</f>
        <v>KPa</v>
      </c>
      <c r="R57" s="44"/>
      <c r="S57" s="112">
        <f>MAXA(C55:G74)</f>
        <v>21371</v>
      </c>
      <c r="T57" s="100" t="str">
        <f>$L$26</f>
        <v>KPa</v>
      </c>
      <c r="U57" s="42"/>
      <c r="V57" s="85"/>
      <c r="W57" s="42"/>
      <c r="X57" s="44"/>
      <c r="Y57" s="44"/>
      <c r="Z57" s="44"/>
      <c r="AA57" s="44"/>
      <c r="AB57" s="44"/>
      <c r="AC57" s="44"/>
      <c r="AD57" s="44"/>
      <c r="AE57" s="44"/>
      <c r="AF57" s="85"/>
      <c r="AG57" s="76"/>
      <c r="AH57" s="6"/>
    </row>
    <row r="58" spans="1:34" ht="13.5" thickBot="1">
      <c r="A58" s="190">
        <v>4</v>
      </c>
      <c r="B58" s="45">
        <v>9</v>
      </c>
      <c r="C58" s="108">
        <v>21112</v>
      </c>
      <c r="D58" s="41">
        <f t="shared" si="1"/>
        <v>0.63682209758717434</v>
      </c>
      <c r="E58" s="42"/>
      <c r="F58" s="45">
        <v>15</v>
      </c>
      <c r="G58" s="108">
        <v>20013</v>
      </c>
      <c r="H58" s="41">
        <f t="shared" si="2"/>
        <v>0.95424250943932487</v>
      </c>
      <c r="I58" s="44"/>
      <c r="J58" s="42"/>
      <c r="K58" s="41" t="s">
        <v>113</v>
      </c>
      <c r="L58" s="44"/>
      <c r="M58" s="44"/>
      <c r="N58" s="44"/>
      <c r="O58" s="111" t="s">
        <v>111</v>
      </c>
      <c r="P58" s="46">
        <f>D59</f>
        <v>0.54406804435027567</v>
      </c>
      <c r="Q58" s="41"/>
      <c r="R58" s="42"/>
      <c r="S58" s="46">
        <f>H61</f>
        <v>0.69897000433601886</v>
      </c>
      <c r="T58" s="41"/>
      <c r="U58" s="42"/>
      <c r="V58" s="6"/>
      <c r="W58" s="6"/>
      <c r="X58" s="42" t="s">
        <v>114</v>
      </c>
      <c r="Y58" s="44"/>
      <c r="Z58" s="44"/>
      <c r="AA58" s="44"/>
      <c r="AB58" s="44"/>
      <c r="AC58" s="44" t="s">
        <v>115</v>
      </c>
      <c r="AD58" s="44"/>
      <c r="AE58" s="44"/>
      <c r="AF58" s="85"/>
      <c r="AG58" s="76"/>
      <c r="AH58" s="6"/>
    </row>
    <row r="59" spans="1:34" ht="13.5" thickBot="1">
      <c r="A59" s="190">
        <v>5</v>
      </c>
      <c r="B59" s="45">
        <v>12</v>
      </c>
      <c r="C59" s="108">
        <v>21231</v>
      </c>
      <c r="D59" s="41">
        <f t="shared" si="1"/>
        <v>0.54406804435027567</v>
      </c>
      <c r="E59" s="42"/>
      <c r="F59" s="45">
        <v>20</v>
      </c>
      <c r="G59" s="108">
        <v>20902</v>
      </c>
      <c r="H59" s="41">
        <f t="shared" si="2"/>
        <v>0.84509804001425681</v>
      </c>
      <c r="I59" s="44"/>
      <c r="J59" s="42"/>
      <c r="K59" s="41" t="s">
        <v>116</v>
      </c>
      <c r="L59" s="44"/>
      <c r="M59" s="44"/>
      <c r="N59" s="44"/>
      <c r="O59" s="44"/>
      <c r="P59" s="113">
        <f>MINA(D55:D74)</f>
        <v>0.22184874961635639</v>
      </c>
      <c r="Q59" s="100"/>
      <c r="R59" s="44"/>
      <c r="S59" s="113">
        <f>MINA(H55:H74)</f>
        <v>0.47712125471966244</v>
      </c>
      <c r="T59" s="100"/>
      <c r="U59" s="42"/>
      <c r="V59" s="6" t="s">
        <v>117</v>
      </c>
      <c r="W59" s="6" t="s">
        <v>118</v>
      </c>
      <c r="X59" s="85" t="s">
        <v>119</v>
      </c>
      <c r="Y59" s="44" t="s">
        <v>120</v>
      </c>
      <c r="Z59" s="44" t="s">
        <v>119</v>
      </c>
      <c r="AA59" s="44" t="s">
        <v>117</v>
      </c>
      <c r="AB59" s="44" t="s">
        <v>121</v>
      </c>
      <c r="AC59" s="44" t="s">
        <v>119</v>
      </c>
      <c r="AD59" s="44" t="s">
        <v>120</v>
      </c>
      <c r="AE59" s="44" t="s">
        <v>119</v>
      </c>
      <c r="AF59" s="85"/>
      <c r="AG59" s="76"/>
      <c r="AH59" s="6"/>
    </row>
    <row r="60" spans="1:34" ht="13.5" thickBot="1">
      <c r="A60" s="190">
        <v>6</v>
      </c>
      <c r="B60" s="45">
        <v>15</v>
      </c>
      <c r="C60" s="108">
        <v>21280</v>
      </c>
      <c r="D60" s="41">
        <f t="shared" si="1"/>
        <v>0.47712125471966244</v>
      </c>
      <c r="E60" s="42"/>
      <c r="F60" s="45">
        <v>25</v>
      </c>
      <c r="G60" s="108">
        <v>21175</v>
      </c>
      <c r="H60" s="41">
        <f t="shared" si="2"/>
        <v>0.76342799356293722</v>
      </c>
      <c r="I60" s="44"/>
      <c r="J60" s="42"/>
      <c r="K60" s="41" t="s">
        <v>122</v>
      </c>
      <c r="L60" s="44"/>
      <c r="M60" s="44"/>
      <c r="N60" s="44"/>
      <c r="O60" s="44"/>
      <c r="P60" s="98">
        <f>ABS((P57-P56)/(P58-P59))</f>
        <v>434.48670606646482</v>
      </c>
      <c r="Q60" s="100" t="str">
        <f>$L$26&amp;"/cycle"</f>
        <v>KPa/cycle</v>
      </c>
      <c r="R60" s="44"/>
      <c r="S60" s="98">
        <f>ABS((S57-S56)/(S58-S59))</f>
        <v>473.29543295410389</v>
      </c>
      <c r="T60" s="100" t="str">
        <f>$L$26&amp;"/cycle"</f>
        <v>KPa/cycle</v>
      </c>
      <c r="U60" s="42"/>
      <c r="V60" s="6"/>
      <c r="W60" s="6"/>
      <c r="X60" s="85"/>
      <c r="Y60" s="44"/>
      <c r="Z60" s="44"/>
      <c r="AA60" s="44"/>
      <c r="AB60" s="44"/>
      <c r="AC60" s="44"/>
      <c r="AD60" s="44"/>
      <c r="AE60" s="44"/>
      <c r="AF60" s="85"/>
      <c r="AG60" s="76"/>
      <c r="AH60" s="6"/>
    </row>
    <row r="61" spans="1:34">
      <c r="A61" s="190">
        <v>7</v>
      </c>
      <c r="B61" s="45">
        <v>18</v>
      </c>
      <c r="C61" s="108">
        <v>21308</v>
      </c>
      <c r="D61" s="41">
        <f t="shared" si="1"/>
        <v>0.4259687322722811</v>
      </c>
      <c r="E61" s="42"/>
      <c r="F61" s="45">
        <v>30</v>
      </c>
      <c r="G61" s="108">
        <v>21266</v>
      </c>
      <c r="H61" s="41">
        <f t="shared" si="2"/>
        <v>0.69897000433601886</v>
      </c>
      <c r="I61" s="44"/>
      <c r="J61" s="42"/>
      <c r="K61" s="41" t="s">
        <v>123</v>
      </c>
      <c r="L61" s="44"/>
      <c r="M61" s="44"/>
      <c r="N61" s="44"/>
      <c r="O61" s="44"/>
      <c r="P61" s="98">
        <f>P57+P60*P59</f>
        <v>21467.390332465773</v>
      </c>
      <c r="Q61" s="100" t="str">
        <f>$L$26</f>
        <v>KPa</v>
      </c>
      <c r="R61" s="44"/>
      <c r="S61" s="98">
        <f>S57+S60*S59</f>
        <v>21596.819310824147</v>
      </c>
      <c r="T61" s="100" t="str">
        <f>$L$26</f>
        <v>KPa</v>
      </c>
      <c r="U61" s="42"/>
      <c r="V61" s="6"/>
      <c r="W61" s="6"/>
      <c r="X61" s="85"/>
      <c r="Y61" s="44"/>
      <c r="Z61" s="44"/>
      <c r="AA61" s="44"/>
      <c r="AB61" s="44"/>
      <c r="AC61" s="44"/>
      <c r="AD61" s="44"/>
      <c r="AE61" s="44"/>
      <c r="AF61" s="85"/>
      <c r="AG61" s="76"/>
      <c r="AH61" s="6"/>
    </row>
    <row r="62" spans="1:34" ht="13.5" thickBot="1">
      <c r="A62" s="191">
        <v>8</v>
      </c>
      <c r="B62" s="114">
        <v>21</v>
      </c>
      <c r="C62" s="115">
        <v>21322</v>
      </c>
      <c r="D62" s="116">
        <f t="shared" si="1"/>
        <v>0.38535088136401707</v>
      </c>
      <c r="E62" s="117"/>
      <c r="F62" s="114">
        <v>35</v>
      </c>
      <c r="G62" s="115">
        <v>21280</v>
      </c>
      <c r="H62" s="116">
        <f t="shared" si="2"/>
        <v>0.64626365382001583</v>
      </c>
      <c r="I62" s="118"/>
      <c r="J62" s="117"/>
      <c r="K62" s="116" t="s">
        <v>124</v>
      </c>
      <c r="L62" s="118"/>
      <c r="M62" s="118"/>
      <c r="N62" s="118"/>
      <c r="O62" s="118"/>
      <c r="P62" s="119">
        <f>IF($A$25=0,+$P$50/$S$50*$C$18/$P$52*1440,$G$18)</f>
        <v>37.440000000000005</v>
      </c>
      <c r="Q62" s="120" t="str">
        <f>$L$27</f>
        <v>m3/d</v>
      </c>
      <c r="R62" s="118"/>
      <c r="S62" s="119">
        <f>IF($A$25=0,(1-$P$50/$S$50)*$C$18/($P$52+$S$52)*1440,$G$18)</f>
        <v>15.840000000000002</v>
      </c>
      <c r="T62" s="120" t="str">
        <f>$L$27</f>
        <v>m3/d</v>
      </c>
      <c r="U62" s="117"/>
      <c r="V62" s="6"/>
      <c r="W62" s="6"/>
      <c r="X62" s="121"/>
      <c r="Y62" s="118"/>
      <c r="Z62" s="118"/>
      <c r="AA62" s="118"/>
      <c r="AB62" s="118"/>
      <c r="AC62" s="118"/>
      <c r="AD62" s="118"/>
      <c r="AE62" s="118"/>
      <c r="AF62" s="121"/>
      <c r="AG62" s="76"/>
      <c r="AH62" s="6"/>
    </row>
    <row r="63" spans="1:34" ht="13.5" thickBot="1">
      <c r="A63" s="190">
        <v>9</v>
      </c>
      <c r="B63" s="45">
        <v>24</v>
      </c>
      <c r="C63" s="108">
        <v>21326</v>
      </c>
      <c r="D63" s="41">
        <f t="shared" si="1"/>
        <v>0.35218251811136247</v>
      </c>
      <c r="E63" s="42"/>
      <c r="F63" s="45">
        <v>40</v>
      </c>
      <c r="G63" s="108">
        <v>21294</v>
      </c>
      <c r="H63" s="41">
        <f t="shared" si="2"/>
        <v>0.6020599913279624</v>
      </c>
      <c r="I63" s="44"/>
      <c r="J63" s="42"/>
      <c r="K63" s="41" t="s">
        <v>125</v>
      </c>
      <c r="L63" s="44"/>
      <c r="M63" s="44"/>
      <c r="N63" s="44"/>
      <c r="O63" s="44"/>
      <c r="P63" s="98">
        <f>IF($A$25=0,$L$16*P62*$C$20*$C$19/P60,$L$17*P62*$G$20*$G$19*($C$21+$L$18)/P60/(P61+$C$55)*$L$23*(LN(10000)-0.75+7*(P64-1)))</f>
        <v>373.32432660249697</v>
      </c>
      <c r="Q63" s="100" t="str">
        <f>$L$32</f>
        <v>md-m</v>
      </c>
      <c r="R63" s="44"/>
      <c r="S63" s="98">
        <f>IF($A$25=0,$L$16*S62*$C$20*$C$19/S60,$L$17*S62*$G$20*$G$19*($C$21+$L$18)/S60/(S61+$C$55)*$L$23*(LN(10000)-0.75+7*(S64-1)))</f>
        <v>144.99392510862165</v>
      </c>
      <c r="T63" s="100" t="str">
        <f>$L$32</f>
        <v>md-m</v>
      </c>
      <c r="U63" s="42"/>
      <c r="V63" s="6"/>
      <c r="W63" s="6"/>
      <c r="X63" s="110"/>
      <c r="Y63" s="99">
        <f t="shared" ref="Y63:Y82" si="3">IF(D55=10,NA(),+(C55^2)/1000)</f>
        <v>15210</v>
      </c>
      <c r="Z63" s="99"/>
      <c r="AA63" s="99"/>
      <c r="AB63" s="99"/>
      <c r="AC63" s="99"/>
      <c r="AD63" s="99">
        <f t="shared" ref="AD63:AD82" si="4">IF(H55=10,NA(),+(G55^2)/1000)</f>
        <v>110250</v>
      </c>
      <c r="AE63" s="99"/>
      <c r="AF63" s="85"/>
      <c r="AG63" s="76"/>
      <c r="AH63" s="6"/>
    </row>
    <row r="64" spans="1:34" ht="13.5" thickBot="1">
      <c r="A64" s="190">
        <v>10</v>
      </c>
      <c r="B64" s="45">
        <v>27</v>
      </c>
      <c r="C64" s="108">
        <v>21332</v>
      </c>
      <c r="D64" s="41">
        <f t="shared" si="1"/>
        <v>0.3245110915135041</v>
      </c>
      <c r="E64" s="42"/>
      <c r="F64" s="45">
        <v>45</v>
      </c>
      <c r="G64" s="108">
        <v>21308</v>
      </c>
      <c r="H64" s="41">
        <f t="shared" si="2"/>
        <v>0.56427143043856254</v>
      </c>
      <c r="I64" s="44"/>
      <c r="J64" s="42"/>
      <c r="K64" s="41" t="s">
        <v>126</v>
      </c>
      <c r="L64" s="44"/>
      <c r="M64" s="44"/>
      <c r="N64" s="44"/>
      <c r="O64" s="44"/>
      <c r="P64" s="122">
        <f>(P61-P$50)/P60/(LOG($P$52)+2.65)</f>
        <v>9.7967839253041102</v>
      </c>
      <c r="Q64" s="100"/>
      <c r="R64" s="44"/>
      <c r="S64" s="122">
        <f>(S61-S$50)/S60/(LOG($P$52+$S$52)+2.65)</f>
        <v>4.9576999862138464</v>
      </c>
      <c r="T64" s="100"/>
      <c r="U64" s="42"/>
      <c r="V64" s="6">
        <f t="shared" ref="V64:V82" si="5">IF(D56=10,NA(),+D56)</f>
        <v>1.0413926851582251</v>
      </c>
      <c r="W64" s="6">
        <f t="shared" ref="W64:W82" si="6">IF(D56=10,NA(),+C56)</f>
        <v>17185</v>
      </c>
      <c r="X64" s="110">
        <f t="shared" ref="X64:X82" si="7">IF(D56=10,NA(),+$P$61-$P$60*D56)</f>
        <v>21014.919054969665</v>
      </c>
      <c r="Y64" s="99">
        <f t="shared" si="3"/>
        <v>295324.22499999998</v>
      </c>
      <c r="Z64" s="123">
        <f t="shared" ref="Z64:Z82" si="8">IF(D56=10,NA(),+($P$77^2/1000-$P$76*D56))</f>
        <v>441549.88057981763</v>
      </c>
      <c r="AA64" s="124">
        <f t="shared" ref="AA64:AA82" si="9">IF(H56=10,NA(),+H56)</f>
        <v>1.3979400086720377</v>
      </c>
      <c r="AB64" s="124">
        <f t="shared" ref="AB64:AB82" si="10">IF(H56=10,NA(),+G56)</f>
        <v>15400.0000002</v>
      </c>
      <c r="AC64" s="99">
        <f t="shared" ref="AC64:AC82" si="11">IF(H56=10,NA(),+$S$61-$S$60*H56)</f>
        <v>20935.18068917585</v>
      </c>
      <c r="AD64" s="99">
        <f t="shared" si="4"/>
        <v>237160.00000616</v>
      </c>
      <c r="AE64" s="99">
        <f t="shared" ref="AE64:AE82" si="12">IF(H56=10,NA(),+($S$77^2/1000-$S$76*H56))</f>
        <v>438137.61304439075</v>
      </c>
      <c r="AF64" s="85"/>
      <c r="AG64" s="76"/>
      <c r="AH64" s="6"/>
    </row>
    <row r="65" spans="1:34" ht="13.5" thickBot="1">
      <c r="A65" s="190">
        <v>11</v>
      </c>
      <c r="B65" s="45">
        <v>30</v>
      </c>
      <c r="C65" s="108">
        <v>21338</v>
      </c>
      <c r="D65" s="41">
        <f t="shared" si="1"/>
        <v>0.3010299956639812</v>
      </c>
      <c r="E65" s="42"/>
      <c r="F65" s="45">
        <v>50</v>
      </c>
      <c r="G65" s="108">
        <v>21315</v>
      </c>
      <c r="H65" s="41">
        <f t="shared" si="2"/>
        <v>0.53147891704225514</v>
      </c>
      <c r="I65" s="44"/>
      <c r="J65" s="42"/>
      <c r="K65" s="41" t="s">
        <v>127</v>
      </c>
      <c r="L65" s="44"/>
      <c r="M65" s="44"/>
      <c r="N65" s="44"/>
      <c r="O65" s="44"/>
      <c r="P65" s="125">
        <f>IF($A$25=0,$L$19*P63/$C$20/$C$19,NA())/(LN(10000)-0.75+7*(P64-1))</f>
        <v>1.4156029566713528E-3</v>
      </c>
      <c r="Q65" s="100" t="str">
        <f>$L$35</f>
        <v>m3/KPa</v>
      </c>
      <c r="R65" s="44"/>
      <c r="S65" s="125">
        <f>IF($A$25=0,$L$19*S63/$C$20/$C$19,NA())/(LN(10000)-0.75+7*(S64-1))</f>
        <v>1.0647761132178328E-3</v>
      </c>
      <c r="T65" s="100" t="str">
        <f>$L$35</f>
        <v>m3/KPa</v>
      </c>
      <c r="U65" s="42"/>
      <c r="V65" s="6">
        <f t="shared" si="5"/>
        <v>0.77815125038364363</v>
      </c>
      <c r="W65" s="6">
        <f t="shared" si="6"/>
        <v>20629</v>
      </c>
      <c r="X65" s="110">
        <f t="shared" si="7"/>
        <v>21129.293958865084</v>
      </c>
      <c r="Y65" s="99">
        <f t="shared" si="3"/>
        <v>425555.641</v>
      </c>
      <c r="Z65" s="123">
        <f t="shared" si="8"/>
        <v>446422.48023557029</v>
      </c>
      <c r="AA65" s="124">
        <f t="shared" si="9"/>
        <v>1.1139433523068367</v>
      </c>
      <c r="AB65" s="124">
        <f t="shared" si="10"/>
        <v>17969</v>
      </c>
      <c r="AC65" s="99">
        <f t="shared" si="11"/>
        <v>21069.595009607736</v>
      </c>
      <c r="AD65" s="99">
        <f t="shared" si="4"/>
        <v>322884.96100000001</v>
      </c>
      <c r="AE65" s="99">
        <f t="shared" si="12"/>
        <v>443868.63642464508</v>
      </c>
      <c r="AF65" s="85"/>
      <c r="AG65" s="76"/>
      <c r="AH65" s="6"/>
    </row>
    <row r="66" spans="1:34" ht="13.5" thickBot="1">
      <c r="A66" s="190">
        <v>12</v>
      </c>
      <c r="B66" s="45">
        <v>33</v>
      </c>
      <c r="C66" s="108">
        <v>21347</v>
      </c>
      <c r="D66" s="41">
        <f t="shared" si="1"/>
        <v>0.28082660957569422</v>
      </c>
      <c r="E66" s="42"/>
      <c r="F66" s="45">
        <v>55</v>
      </c>
      <c r="G66" s="108">
        <v>21329</v>
      </c>
      <c r="H66" s="41">
        <f t="shared" si="2"/>
        <v>0.50267535919205053</v>
      </c>
      <c r="I66" s="44"/>
      <c r="J66" s="42"/>
      <c r="K66" s="41" t="s">
        <v>128</v>
      </c>
      <c r="L66" s="44"/>
      <c r="M66" s="44"/>
      <c r="N66" s="44"/>
      <c r="O66" s="44"/>
      <c r="P66" s="98">
        <f>IF($A$25=0,P65*(P61-P50),NA())</f>
        <v>24.868449695638287</v>
      </c>
      <c r="Q66" s="100" t="str">
        <f>$L$27</f>
        <v>m3/d</v>
      </c>
      <c r="R66" s="44"/>
      <c r="S66" s="98">
        <f>IF($A$25=0,S65*(S61-S50),NA())</f>
        <v>11.815628134859924</v>
      </c>
      <c r="T66" s="100" t="str">
        <f>$L$27</f>
        <v>m3/d</v>
      </c>
      <c r="U66" s="42"/>
      <c r="V66" s="6">
        <f t="shared" si="5"/>
        <v>0.63682209758717434</v>
      </c>
      <c r="W66" s="6">
        <f t="shared" si="6"/>
        <v>21112</v>
      </c>
      <c r="X66" s="110">
        <f t="shared" si="7"/>
        <v>21190.699596934784</v>
      </c>
      <c r="Y66" s="99">
        <f t="shared" si="3"/>
        <v>445716.54399999999</v>
      </c>
      <c r="Z66" s="123">
        <f t="shared" si="8"/>
        <v>449038.48322861572</v>
      </c>
      <c r="AA66" s="124">
        <f t="shared" si="9"/>
        <v>0.95424250943932487</v>
      </c>
      <c r="AB66" s="124">
        <f t="shared" si="10"/>
        <v>20013</v>
      </c>
      <c r="AC66" s="99">
        <f t="shared" si="11"/>
        <v>21145.18068917585</v>
      </c>
      <c r="AD66" s="99">
        <f t="shared" si="4"/>
        <v>400520.16899999999</v>
      </c>
      <c r="AE66" s="99">
        <f t="shared" si="12"/>
        <v>447091.38304439076</v>
      </c>
      <c r="AF66" s="85"/>
      <c r="AG66" s="76"/>
      <c r="AH66" s="6"/>
    </row>
    <row r="67" spans="1:34" ht="13.5" thickBot="1">
      <c r="A67" s="191">
        <v>13</v>
      </c>
      <c r="B67" s="114">
        <v>36</v>
      </c>
      <c r="C67" s="115">
        <v>21352</v>
      </c>
      <c r="D67" s="116">
        <f t="shared" si="1"/>
        <v>0.2632414347745814</v>
      </c>
      <c r="E67" s="117"/>
      <c r="F67" s="114">
        <v>60</v>
      </c>
      <c r="G67" s="115">
        <v>21343</v>
      </c>
      <c r="H67" s="116">
        <f t="shared" si="2"/>
        <v>0.47712125471966244</v>
      </c>
      <c r="I67" s="118"/>
      <c r="J67" s="117"/>
      <c r="K67" s="116" t="s">
        <v>129</v>
      </c>
      <c r="L67" s="118"/>
      <c r="M67" s="118"/>
      <c r="N67" s="118"/>
      <c r="O67" s="118"/>
      <c r="P67" s="119" t="e">
        <f>IF($A$25,((P61+$L$22)^2)/($L$20*($C$21+$L$18)*$G$20*$G$19/P63*$L$15)/1000,NA())</f>
        <v>#N/A</v>
      </c>
      <c r="Q67" s="120" t="str">
        <f>$L$27</f>
        <v>m3/d</v>
      </c>
      <c r="R67" s="118"/>
      <c r="S67" s="119" t="e">
        <f>IF($A$25,((S61+$L$22)^2)/($L$20*($C$21+$L$18)*$G$20*$G$19/S63*$L$15)/1000,NA())</f>
        <v>#N/A</v>
      </c>
      <c r="T67" s="120" t="str">
        <f>$L$27</f>
        <v>m3/d</v>
      </c>
      <c r="U67" s="117"/>
      <c r="V67" s="6">
        <f t="shared" si="5"/>
        <v>0.54406804435027567</v>
      </c>
      <c r="W67" s="6">
        <f t="shared" si="6"/>
        <v>21231</v>
      </c>
      <c r="X67" s="126">
        <f t="shared" si="7"/>
        <v>21231</v>
      </c>
      <c r="Y67" s="127">
        <f t="shared" si="3"/>
        <v>450755.36099999998</v>
      </c>
      <c r="Z67" s="128">
        <f t="shared" si="8"/>
        <v>450755.36099999998</v>
      </c>
      <c r="AA67" s="124">
        <f t="shared" si="9"/>
        <v>0.84509804001425681</v>
      </c>
      <c r="AB67" s="124">
        <f t="shared" si="10"/>
        <v>20902</v>
      </c>
      <c r="AC67" s="127">
        <f t="shared" si="11"/>
        <v>21196.838268086933</v>
      </c>
      <c r="AD67" s="127">
        <f t="shared" si="4"/>
        <v>436893.60399999999</v>
      </c>
      <c r="AE67" s="127">
        <f t="shared" si="12"/>
        <v>449293.90723642264</v>
      </c>
      <c r="AF67" s="121"/>
      <c r="AG67" s="76"/>
      <c r="AH67" s="6"/>
    </row>
    <row r="68" spans="1:34" ht="13.5" thickBot="1">
      <c r="A68" s="190">
        <v>14</v>
      </c>
      <c r="B68" s="45">
        <v>39</v>
      </c>
      <c r="C68" s="108">
        <v>21358</v>
      </c>
      <c r="D68" s="41">
        <f t="shared" si="1"/>
        <v>0.24778448371075609</v>
      </c>
      <c r="E68" s="42"/>
      <c r="F68" s="47"/>
      <c r="G68" s="129"/>
      <c r="H68" s="41">
        <f t="shared" si="2"/>
        <v>10</v>
      </c>
      <c r="I68" s="44"/>
      <c r="J68" s="42"/>
      <c r="K68" s="102"/>
      <c r="L68" s="97"/>
      <c r="M68" s="97"/>
      <c r="N68" s="97"/>
      <c r="O68" s="97"/>
      <c r="P68" s="97"/>
      <c r="Q68" s="97"/>
      <c r="R68" s="97"/>
      <c r="S68" s="97"/>
      <c r="T68" s="97"/>
      <c r="U68" s="103"/>
      <c r="V68" s="6">
        <f t="shared" si="5"/>
        <v>0.47712125471966244</v>
      </c>
      <c r="W68" s="6">
        <f t="shared" si="6"/>
        <v>21280</v>
      </c>
      <c r="X68" s="110">
        <f t="shared" si="7"/>
        <v>21260.08749010833</v>
      </c>
      <c r="Y68" s="99">
        <f t="shared" si="3"/>
        <v>452838.40000000002</v>
      </c>
      <c r="Z68" s="123">
        <f t="shared" si="8"/>
        <v>451994.54625359504</v>
      </c>
      <c r="AA68" s="124">
        <f t="shared" si="9"/>
        <v>0.76342799356293722</v>
      </c>
      <c r="AB68" s="124">
        <f t="shared" si="10"/>
        <v>21175</v>
      </c>
      <c r="AC68" s="99">
        <f t="shared" si="11"/>
        <v>21235.492328081495</v>
      </c>
      <c r="AD68" s="99">
        <f t="shared" si="4"/>
        <v>448380.625</v>
      </c>
      <c r="AE68" s="99">
        <f t="shared" si="12"/>
        <v>450942.00039241067</v>
      </c>
      <c r="AF68" s="85"/>
      <c r="AG68" s="76"/>
      <c r="AH68" s="6"/>
    </row>
    <row r="69" spans="1:34" ht="13.5" thickBot="1">
      <c r="A69" s="190">
        <v>15</v>
      </c>
      <c r="B69" s="45">
        <v>42</v>
      </c>
      <c r="C69" s="108">
        <v>21364</v>
      </c>
      <c r="D69" s="41">
        <f t="shared" si="1"/>
        <v>0.23408320603336796</v>
      </c>
      <c r="E69" s="42"/>
      <c r="F69" s="47"/>
      <c r="G69" s="129"/>
      <c r="H69" s="41">
        <f t="shared" si="2"/>
        <v>10</v>
      </c>
      <c r="I69" s="44"/>
      <c r="J69" s="42"/>
      <c r="K69" s="130"/>
      <c r="L69" s="131"/>
      <c r="M69" s="131"/>
      <c r="N69" s="131" t="s">
        <v>130</v>
      </c>
      <c r="O69" s="131"/>
      <c r="P69" s="131"/>
      <c r="Q69" s="131"/>
      <c r="R69" s="131"/>
      <c r="S69" s="131"/>
      <c r="T69" s="131"/>
      <c r="U69" s="132"/>
      <c r="V69" s="6">
        <f t="shared" si="5"/>
        <v>0.4259687322722811</v>
      </c>
      <c r="W69" s="6">
        <f t="shared" si="6"/>
        <v>21308</v>
      </c>
      <c r="X69" s="110">
        <f t="shared" si="7"/>
        <v>21282.312581093483</v>
      </c>
      <c r="Y69" s="99">
        <f t="shared" si="3"/>
        <v>454030.864</v>
      </c>
      <c r="Z69" s="123">
        <f t="shared" si="8"/>
        <v>452941.37957974453</v>
      </c>
      <c r="AA69" s="124">
        <f t="shared" si="9"/>
        <v>0.69897000433601886</v>
      </c>
      <c r="AB69" s="124">
        <f t="shared" si="10"/>
        <v>21266</v>
      </c>
      <c r="AC69" s="99">
        <f t="shared" si="11"/>
        <v>21266</v>
      </c>
      <c r="AD69" s="99">
        <f t="shared" si="4"/>
        <v>452242.75599999999</v>
      </c>
      <c r="AE69" s="99">
        <f t="shared" si="12"/>
        <v>452242.75599999994</v>
      </c>
      <c r="AF69" s="85"/>
      <c r="AG69" s="76"/>
      <c r="AH69" s="6"/>
    </row>
    <row r="70" spans="1:34" ht="13.5" thickBot="1">
      <c r="A70" s="190">
        <v>16</v>
      </c>
      <c r="B70" s="45">
        <v>45</v>
      </c>
      <c r="C70" s="108">
        <v>21371</v>
      </c>
      <c r="D70" s="41">
        <f t="shared" si="1"/>
        <v>0.22184874961635639</v>
      </c>
      <c r="E70" s="42"/>
      <c r="F70" s="47"/>
      <c r="G70" s="129"/>
      <c r="H70" s="41">
        <f t="shared" si="2"/>
        <v>10</v>
      </c>
      <c r="I70" s="44"/>
      <c r="J70" s="42"/>
      <c r="K70" s="92" t="s">
        <v>131</v>
      </c>
      <c r="L70" s="48"/>
      <c r="M70" s="48"/>
      <c r="N70" s="48"/>
      <c r="O70" s="48"/>
      <c r="P70" s="48"/>
      <c r="Q70" s="48"/>
      <c r="R70" s="48"/>
      <c r="S70" s="48"/>
      <c r="T70" s="48"/>
      <c r="U70" s="75"/>
      <c r="V70" s="6">
        <f t="shared" si="5"/>
        <v>0.38535088136401707</v>
      </c>
      <c r="W70" s="6">
        <f t="shared" si="6"/>
        <v>21322</v>
      </c>
      <c r="X70" s="110">
        <f t="shared" si="7"/>
        <v>21299.960497342112</v>
      </c>
      <c r="Y70" s="99">
        <f t="shared" si="3"/>
        <v>454627.68400000001</v>
      </c>
      <c r="Z70" s="123">
        <f t="shared" si="8"/>
        <v>453693.21610776871</v>
      </c>
      <c r="AA70" s="124">
        <f t="shared" si="9"/>
        <v>0.64626365382001583</v>
      </c>
      <c r="AB70" s="124">
        <f t="shared" si="10"/>
        <v>21280</v>
      </c>
      <c r="AC70" s="99">
        <f t="shared" si="11"/>
        <v>21290.945674986902</v>
      </c>
      <c r="AD70" s="99">
        <f t="shared" si="4"/>
        <v>452838.40000000002</v>
      </c>
      <c r="AE70" s="99">
        <f t="shared" si="12"/>
        <v>453306.3647444165</v>
      </c>
      <c r="AF70" s="85"/>
      <c r="AG70" s="76"/>
      <c r="AH70" s="6"/>
    </row>
    <row r="71" spans="1:34" ht="13.5" thickBot="1">
      <c r="A71" s="190">
        <v>17</v>
      </c>
      <c r="B71" s="47"/>
      <c r="C71" s="129"/>
      <c r="D71" s="41">
        <f t="shared" si="1"/>
        <v>10</v>
      </c>
      <c r="E71" s="42"/>
      <c r="F71" s="47"/>
      <c r="G71" s="129"/>
      <c r="H71" s="41">
        <f t="shared" si="2"/>
        <v>10</v>
      </c>
      <c r="I71" s="44"/>
      <c r="J71" s="42"/>
      <c r="K71" s="41"/>
      <c r="L71" s="44"/>
      <c r="M71" s="44"/>
      <c r="N71" s="44"/>
      <c r="O71" s="44"/>
      <c r="P71" s="97"/>
      <c r="Q71" s="44" t="s">
        <v>132</v>
      </c>
      <c r="R71" s="44"/>
      <c r="S71" s="97"/>
      <c r="T71" s="44" t="s">
        <v>132</v>
      </c>
      <c r="U71" s="42"/>
      <c r="V71" s="6">
        <f t="shared" si="5"/>
        <v>0.35218251811136247</v>
      </c>
      <c r="W71" s="6">
        <f t="shared" si="6"/>
        <v>21326</v>
      </c>
      <c r="X71" s="110">
        <f t="shared" si="7"/>
        <v>21314.371710237374</v>
      </c>
      <c r="Y71" s="99">
        <f t="shared" si="3"/>
        <v>454798.27600000001</v>
      </c>
      <c r="Z71" s="123">
        <f t="shared" si="8"/>
        <v>454307.16259953263</v>
      </c>
      <c r="AA71" s="124">
        <f t="shared" si="9"/>
        <v>0.6020599913279624</v>
      </c>
      <c r="AB71" s="124">
        <f t="shared" si="10"/>
        <v>21294</v>
      </c>
      <c r="AC71" s="99">
        <f t="shared" si="11"/>
        <v>21311.867066564235</v>
      </c>
      <c r="AD71" s="99">
        <f t="shared" si="4"/>
        <v>453434.43599999999</v>
      </c>
      <c r="AE71" s="99">
        <f t="shared" si="12"/>
        <v>454198.39011709928</v>
      </c>
      <c r="AF71" s="85"/>
      <c r="AG71" s="76"/>
      <c r="AH71" s="6"/>
    </row>
    <row r="72" spans="1:34" ht="13.5" thickBot="1">
      <c r="A72" s="190">
        <v>18</v>
      </c>
      <c r="B72" s="47"/>
      <c r="C72" s="129"/>
      <c r="D72" s="41">
        <f t="shared" si="1"/>
        <v>10</v>
      </c>
      <c r="E72" s="42"/>
      <c r="F72" s="47"/>
      <c r="G72" s="129"/>
      <c r="H72" s="41">
        <f t="shared" si="2"/>
        <v>10</v>
      </c>
      <c r="I72" s="44"/>
      <c r="J72" s="42"/>
      <c r="K72" s="41" t="s">
        <v>133</v>
      </c>
      <c r="L72" s="44"/>
      <c r="M72" s="44"/>
      <c r="N72" s="44"/>
      <c r="O72" s="111" t="s">
        <v>111</v>
      </c>
      <c r="P72" s="45">
        <f>Y67</f>
        <v>450755.36099999998</v>
      </c>
      <c r="Q72" s="41" t="str">
        <f>$L$26&amp;"^2"</f>
        <v>KPa^2</v>
      </c>
      <c r="R72" s="42"/>
      <c r="S72" s="45">
        <f>AD69</f>
        <v>452242.75599999999</v>
      </c>
      <c r="T72" s="41" t="str">
        <f>$L$26&amp;"^2"</f>
        <v>KPa^2</v>
      </c>
      <c r="U72" s="42"/>
      <c r="V72" s="6">
        <f t="shared" si="5"/>
        <v>0.3245110915135041</v>
      </c>
      <c r="W72" s="6">
        <f t="shared" si="6"/>
        <v>21332</v>
      </c>
      <c r="X72" s="110">
        <f t="shared" si="7"/>
        <v>21326.394577232037</v>
      </c>
      <c r="Y72" s="99">
        <f t="shared" si="3"/>
        <v>455054.22399999999</v>
      </c>
      <c r="Z72" s="123">
        <f t="shared" si="8"/>
        <v>454819.36077923933</v>
      </c>
      <c r="AA72" s="124">
        <f t="shared" si="9"/>
        <v>0.56427143043856254</v>
      </c>
      <c r="AB72" s="124">
        <f t="shared" si="10"/>
        <v>21308</v>
      </c>
      <c r="AC72" s="99">
        <f t="shared" si="11"/>
        <v>21329.752219851096</v>
      </c>
      <c r="AD72" s="99">
        <f t="shared" si="4"/>
        <v>454030.864</v>
      </c>
      <c r="AE72" s="99">
        <f t="shared" si="12"/>
        <v>454960.95939779119</v>
      </c>
      <c r="AF72" s="85"/>
      <c r="AG72" s="76"/>
      <c r="AH72" s="6"/>
    </row>
    <row r="73" spans="1:34" ht="13.5" thickBot="1">
      <c r="A73" s="190">
        <v>19</v>
      </c>
      <c r="B73" s="47"/>
      <c r="C73" s="133"/>
      <c r="D73" s="41">
        <f t="shared" si="1"/>
        <v>10</v>
      </c>
      <c r="E73" s="42"/>
      <c r="F73" s="47"/>
      <c r="G73" s="129"/>
      <c r="H73" s="41">
        <f t="shared" si="2"/>
        <v>10</v>
      </c>
      <c r="I73" s="44"/>
      <c r="J73" s="42"/>
      <c r="K73" s="41" t="s">
        <v>134</v>
      </c>
      <c r="L73" s="44"/>
      <c r="M73" s="44"/>
      <c r="N73" s="44"/>
      <c r="O73" s="44"/>
      <c r="P73" s="112">
        <f>P57*P57/1000</f>
        <v>456719.641</v>
      </c>
      <c r="Q73" s="100" t="str">
        <f>$L$26&amp;"^2"</f>
        <v>KPa^2</v>
      </c>
      <c r="R73" s="44"/>
      <c r="S73" s="112">
        <f>S57*S57/1000</f>
        <v>456719.641</v>
      </c>
      <c r="T73" s="100" t="str">
        <f>$L$26&amp;"^2"</f>
        <v>KPa^2</v>
      </c>
      <c r="U73" s="42"/>
      <c r="V73" s="6">
        <f t="shared" si="5"/>
        <v>0.3010299956639812</v>
      </c>
      <c r="W73" s="6">
        <f t="shared" si="6"/>
        <v>21338</v>
      </c>
      <c r="X73" s="110">
        <f t="shared" si="7"/>
        <v>21336.596801222528</v>
      </c>
      <c r="Y73" s="99">
        <f t="shared" si="3"/>
        <v>455310.24400000001</v>
      </c>
      <c r="Z73" s="123">
        <f t="shared" si="8"/>
        <v>455253.99592568219</v>
      </c>
      <c r="AA73" s="124">
        <f t="shared" si="9"/>
        <v>0.53147891704225514</v>
      </c>
      <c r="AB73" s="124">
        <f t="shared" si="10"/>
        <v>21315</v>
      </c>
      <c r="AC73" s="99">
        <f t="shared" si="11"/>
        <v>21345.272766676655</v>
      </c>
      <c r="AD73" s="99">
        <f t="shared" si="4"/>
        <v>454329.22499999998</v>
      </c>
      <c r="AE73" s="99">
        <f t="shared" si="12"/>
        <v>455622.70895279251</v>
      </c>
      <c r="AF73" s="85"/>
      <c r="AG73" s="76"/>
      <c r="AH73" s="6"/>
    </row>
    <row r="74" spans="1:34" ht="13.5" thickBot="1">
      <c r="A74" s="190">
        <v>20</v>
      </c>
      <c r="B74" s="47"/>
      <c r="C74" s="129"/>
      <c r="D74" s="41">
        <f t="shared" si="1"/>
        <v>10</v>
      </c>
      <c r="E74" s="42"/>
      <c r="F74" s="47"/>
      <c r="G74" s="129"/>
      <c r="H74" s="41">
        <f t="shared" si="2"/>
        <v>10</v>
      </c>
      <c r="I74" s="44"/>
      <c r="J74" s="42"/>
      <c r="K74" s="41" t="s">
        <v>113</v>
      </c>
      <c r="L74" s="44"/>
      <c r="M74" s="44"/>
      <c r="N74" s="44"/>
      <c r="O74" s="111" t="s">
        <v>111</v>
      </c>
      <c r="P74" s="46">
        <f>D59</f>
        <v>0.54406804435027567</v>
      </c>
      <c r="Q74" s="41"/>
      <c r="R74" s="42"/>
      <c r="S74" s="46">
        <f>H61</f>
        <v>0.69897000433601886</v>
      </c>
      <c r="T74" s="41"/>
      <c r="U74" s="42"/>
      <c r="V74" s="6">
        <f t="shared" si="5"/>
        <v>0.28082660957569422</v>
      </c>
      <c r="W74" s="6">
        <f t="shared" si="6"/>
        <v>21347</v>
      </c>
      <c r="X74" s="110">
        <f t="shared" si="7"/>
        <v>21345.374903895416</v>
      </c>
      <c r="Y74" s="99">
        <f t="shared" si="3"/>
        <v>455694.40899999999</v>
      </c>
      <c r="Z74" s="123">
        <f t="shared" si="8"/>
        <v>455627.96065575257</v>
      </c>
      <c r="AA74" s="124">
        <f t="shared" si="9"/>
        <v>0.50267535919205053</v>
      </c>
      <c r="AB74" s="124">
        <f t="shared" si="10"/>
        <v>21329</v>
      </c>
      <c r="AC74" s="99">
        <f t="shared" si="11"/>
        <v>21358.905359059987</v>
      </c>
      <c r="AD74" s="99">
        <f t="shared" si="4"/>
        <v>454926.24099999998</v>
      </c>
      <c r="AE74" s="99">
        <f t="shared" si="12"/>
        <v>456203.96179424063</v>
      </c>
      <c r="AF74" s="85"/>
      <c r="AG74" s="76"/>
      <c r="AH74" s="6"/>
    </row>
    <row r="75" spans="1:34">
      <c r="A75" s="176"/>
      <c r="B75" s="48"/>
      <c r="C75" s="48"/>
      <c r="D75" s="44"/>
      <c r="E75" s="44"/>
      <c r="F75" s="48"/>
      <c r="G75" s="48"/>
      <c r="H75" s="44"/>
      <c r="I75" s="44"/>
      <c r="J75" s="42"/>
      <c r="K75" s="41" t="s">
        <v>116</v>
      </c>
      <c r="L75" s="44"/>
      <c r="M75" s="44"/>
      <c r="N75" s="44"/>
      <c r="O75" s="44"/>
      <c r="P75" s="113">
        <f>P59</f>
        <v>0.22184874961635639</v>
      </c>
      <c r="Q75" s="100"/>
      <c r="R75" s="44"/>
      <c r="S75" s="113">
        <f>S59</f>
        <v>0.47712125471966244</v>
      </c>
      <c r="T75" s="100"/>
      <c r="U75" s="42"/>
      <c r="V75" s="6">
        <f t="shared" si="5"/>
        <v>0.2632414347745814</v>
      </c>
      <c r="W75" s="6">
        <f t="shared" si="6"/>
        <v>21352</v>
      </c>
      <c r="X75" s="110">
        <f t="shared" si="7"/>
        <v>21353.015428570354</v>
      </c>
      <c r="Y75" s="99">
        <f t="shared" si="3"/>
        <v>455907.90399999998</v>
      </c>
      <c r="Z75" s="123">
        <f t="shared" si="8"/>
        <v>455953.46228795435</v>
      </c>
      <c r="AA75" s="124">
        <f t="shared" si="9"/>
        <v>0.47712125471966244</v>
      </c>
      <c r="AB75" s="124">
        <f t="shared" si="10"/>
        <v>21343</v>
      </c>
      <c r="AC75" s="99">
        <f t="shared" si="11"/>
        <v>21371</v>
      </c>
      <c r="AD75" s="99">
        <f t="shared" si="4"/>
        <v>455523.64899999998</v>
      </c>
      <c r="AE75" s="99">
        <f t="shared" si="12"/>
        <v>456719.64099999995</v>
      </c>
      <c r="AF75" s="85"/>
      <c r="AG75" s="76"/>
      <c r="AH75" s="6"/>
    </row>
    <row r="76" spans="1:34">
      <c r="A76" s="177"/>
      <c r="B76" s="6"/>
      <c r="C76" s="6"/>
      <c r="D76" s="6"/>
      <c r="E76" s="6"/>
      <c r="F76" s="6"/>
      <c r="G76" s="6"/>
      <c r="H76" s="6"/>
      <c r="I76" s="6"/>
      <c r="J76" s="42"/>
      <c r="K76" s="41" t="s">
        <v>122</v>
      </c>
      <c r="L76" s="44"/>
      <c r="M76" s="44"/>
      <c r="N76" s="44"/>
      <c r="O76" s="44"/>
      <c r="P76" s="98">
        <f>ABS((P73-P72)/(P74-P75))</f>
        <v>18510.002651843621</v>
      </c>
      <c r="Q76" s="100" t="str">
        <f>$L$26&amp;"^2/cycle"</f>
        <v>KPa^2/cycle</v>
      </c>
      <c r="R76" s="44"/>
      <c r="S76" s="98">
        <f>ABS((S73-S72)/(S74-S75))</f>
        <v>20179.897374864169</v>
      </c>
      <c r="T76" s="100" t="str">
        <f>$L$26&amp;"^2/cycle"</f>
        <v>KPa^2/cycle</v>
      </c>
      <c r="U76" s="42"/>
      <c r="V76" s="6">
        <f t="shared" si="5"/>
        <v>0.24778448371075609</v>
      </c>
      <c r="W76" s="6">
        <f t="shared" si="6"/>
        <v>21358</v>
      </c>
      <c r="X76" s="110">
        <f t="shared" si="7"/>
        <v>21359.731268323907</v>
      </c>
      <c r="Y76" s="99">
        <f t="shared" si="3"/>
        <v>456164.16399999999</v>
      </c>
      <c r="Z76" s="123">
        <f t="shared" si="8"/>
        <v>456239.57049313514</v>
      </c>
      <c r="AA76" s="124" t="e">
        <f t="shared" si="9"/>
        <v>#N/A</v>
      </c>
      <c r="AB76" s="124" t="e">
        <f t="shared" si="10"/>
        <v>#N/A</v>
      </c>
      <c r="AC76" s="99" t="e">
        <f t="shared" si="11"/>
        <v>#N/A</v>
      </c>
      <c r="AD76" s="99" t="e">
        <f t="shared" si="4"/>
        <v>#N/A</v>
      </c>
      <c r="AE76" s="99" t="e">
        <f t="shared" si="12"/>
        <v>#N/A</v>
      </c>
      <c r="AF76" s="85"/>
      <c r="AG76" s="76"/>
      <c r="AH76" s="6"/>
    </row>
    <row r="77" spans="1:34">
      <c r="A77" s="177"/>
      <c r="B77" s="6"/>
      <c r="C77" s="6"/>
      <c r="D77" s="6"/>
      <c r="E77" s="6"/>
      <c r="F77" s="6"/>
      <c r="G77" s="6"/>
      <c r="H77" s="6"/>
      <c r="I77" s="6"/>
      <c r="J77" s="42"/>
      <c r="K77" s="41" t="s">
        <v>135</v>
      </c>
      <c r="L77" s="44"/>
      <c r="M77" s="44"/>
      <c r="N77" s="44"/>
      <c r="O77" s="44"/>
      <c r="P77" s="98">
        <f>SQRT(+P73*1000+P76*P75*1000)</f>
        <v>21466.859619974854</v>
      </c>
      <c r="Q77" s="100" t="str">
        <f>$L$26</f>
        <v>KPa</v>
      </c>
      <c r="R77" s="44"/>
      <c r="S77" s="98">
        <f>SQRT(+S73*1000+S76*S75*1000)</f>
        <v>21595.08969547497</v>
      </c>
      <c r="T77" s="100" t="str">
        <f>$L$26</f>
        <v>KPa</v>
      </c>
      <c r="U77" s="42"/>
      <c r="V77" s="6">
        <f t="shared" si="5"/>
        <v>0.23408320603336796</v>
      </c>
      <c r="W77" s="6">
        <f t="shared" si="6"/>
        <v>21364</v>
      </c>
      <c r="X77" s="110">
        <f t="shared" si="7"/>
        <v>21365.684291330857</v>
      </c>
      <c r="Y77" s="99">
        <f t="shared" si="3"/>
        <v>456420.49599999998</v>
      </c>
      <c r="Z77" s="123">
        <f t="shared" si="8"/>
        <v>456493.18117927725</v>
      </c>
      <c r="AA77" s="124" t="e">
        <f t="shared" si="9"/>
        <v>#N/A</v>
      </c>
      <c r="AB77" s="124" t="e">
        <f t="shared" si="10"/>
        <v>#N/A</v>
      </c>
      <c r="AC77" s="99" t="e">
        <f t="shared" si="11"/>
        <v>#N/A</v>
      </c>
      <c r="AD77" s="99" t="e">
        <f t="shared" si="4"/>
        <v>#N/A</v>
      </c>
      <c r="AE77" s="99" t="e">
        <f t="shared" si="12"/>
        <v>#N/A</v>
      </c>
      <c r="AF77" s="85"/>
      <c r="AG77" s="76"/>
      <c r="AH77" s="6"/>
    </row>
    <row r="78" spans="1:34">
      <c r="A78" s="134"/>
      <c r="B78" s="6"/>
      <c r="C78" s="6"/>
      <c r="D78" s="6"/>
      <c r="E78" s="6"/>
      <c r="F78" s="6"/>
      <c r="G78" s="6"/>
      <c r="H78" s="6"/>
      <c r="I78" s="6"/>
      <c r="J78" s="117"/>
      <c r="K78" s="116" t="s">
        <v>124</v>
      </c>
      <c r="L78" s="118"/>
      <c r="M78" s="118"/>
      <c r="N78" s="118"/>
      <c r="O78" s="118"/>
      <c r="P78" s="119" t="e">
        <f>IF($A$25,+$G$18,NA())</f>
        <v>#N/A</v>
      </c>
      <c r="Q78" s="120" t="str">
        <f>$L$27</f>
        <v>m3/d</v>
      </c>
      <c r="R78" s="118"/>
      <c r="S78" s="119" t="e">
        <f>IF($A$25,+$G$18,NA())</f>
        <v>#N/A</v>
      </c>
      <c r="T78" s="120" t="str">
        <f>$L$27</f>
        <v>m3/d</v>
      </c>
      <c r="U78" s="117"/>
      <c r="V78" s="6">
        <f t="shared" si="5"/>
        <v>0.22184874961635639</v>
      </c>
      <c r="W78" s="6">
        <f t="shared" si="6"/>
        <v>21371</v>
      </c>
      <c r="X78" s="126">
        <f t="shared" si="7"/>
        <v>21371</v>
      </c>
      <c r="Y78" s="127">
        <f t="shared" si="3"/>
        <v>456719.641</v>
      </c>
      <c r="Z78" s="128">
        <f t="shared" si="8"/>
        <v>456719.641</v>
      </c>
      <c r="AA78" s="124" t="e">
        <f t="shared" si="9"/>
        <v>#N/A</v>
      </c>
      <c r="AB78" s="124" t="e">
        <f t="shared" si="10"/>
        <v>#N/A</v>
      </c>
      <c r="AC78" s="127" t="e">
        <f t="shared" si="11"/>
        <v>#N/A</v>
      </c>
      <c r="AD78" s="127" t="e">
        <f t="shared" si="4"/>
        <v>#N/A</v>
      </c>
      <c r="AE78" s="127" t="e">
        <f t="shared" si="12"/>
        <v>#N/A</v>
      </c>
      <c r="AF78" s="121"/>
      <c r="AG78" s="76"/>
      <c r="AH78" s="6"/>
    </row>
    <row r="79" spans="1:34">
      <c r="A79" s="134"/>
      <c r="B79" s="6"/>
      <c r="C79" s="6"/>
      <c r="D79" s="6"/>
      <c r="E79" s="6"/>
      <c r="F79" s="6"/>
      <c r="G79" s="6"/>
      <c r="H79" s="6"/>
      <c r="I79" s="6"/>
      <c r="J79" s="117"/>
      <c r="K79" s="116" t="s">
        <v>125</v>
      </c>
      <c r="L79" s="118"/>
      <c r="M79" s="118"/>
      <c r="N79" s="118"/>
      <c r="O79" s="118"/>
      <c r="P79" s="119" t="e">
        <f>$L$21*P78*IF($A$25,$G$20*$G$19,NA())*($C$21+$L$18)/P76*$L$15/(LN(10000)-0.75+7*(P80-1))</f>
        <v>#N/A</v>
      </c>
      <c r="Q79" s="120" t="str">
        <f>$L$32</f>
        <v>md-m</v>
      </c>
      <c r="R79" s="118"/>
      <c r="S79" s="119" t="e">
        <f>$L$21*S78*IF($A$25,$G$20*$G$19,NA())*($C$21+$L$18)/S76*$L$15/(LN(10000)-0.75+7*(S80-1))</f>
        <v>#N/A</v>
      </c>
      <c r="T79" s="120" t="str">
        <f>$L$32</f>
        <v>md-m</v>
      </c>
      <c r="U79" s="117"/>
      <c r="V79" s="6" t="e">
        <f t="shared" si="5"/>
        <v>#N/A</v>
      </c>
      <c r="W79" s="6" t="e">
        <f t="shared" si="6"/>
        <v>#N/A</v>
      </c>
      <c r="X79" s="126" t="e">
        <f t="shared" si="7"/>
        <v>#N/A</v>
      </c>
      <c r="Y79" s="127" t="e">
        <f t="shared" si="3"/>
        <v>#N/A</v>
      </c>
      <c r="Z79" s="128" t="e">
        <f t="shared" si="8"/>
        <v>#N/A</v>
      </c>
      <c r="AA79" s="124" t="e">
        <f t="shared" si="9"/>
        <v>#N/A</v>
      </c>
      <c r="AB79" s="124" t="e">
        <f t="shared" si="10"/>
        <v>#N/A</v>
      </c>
      <c r="AC79" s="127" t="e">
        <f t="shared" si="11"/>
        <v>#N/A</v>
      </c>
      <c r="AD79" s="127" t="e">
        <f t="shared" si="4"/>
        <v>#N/A</v>
      </c>
      <c r="AE79" s="127" t="e">
        <f t="shared" si="12"/>
        <v>#N/A</v>
      </c>
      <c r="AF79" s="121"/>
      <c r="AG79" s="76"/>
      <c r="AH79" s="6"/>
    </row>
    <row r="80" spans="1:34">
      <c r="A80" s="134"/>
      <c r="B80" s="6"/>
      <c r="C80" s="6"/>
      <c r="D80" s="6"/>
      <c r="E80" s="6"/>
      <c r="F80" s="6"/>
      <c r="G80" s="6"/>
      <c r="H80" s="6"/>
      <c r="I80" s="6"/>
      <c r="J80" s="42"/>
      <c r="K80" s="41" t="s">
        <v>126</v>
      </c>
      <c r="L80" s="44"/>
      <c r="M80" s="44"/>
      <c r="N80" s="44"/>
      <c r="O80" s="44"/>
      <c r="P80" s="122">
        <f>(P77^2-P$50^2)/P76/(LOG($P$52)+2.65)/1000</f>
        <v>5.8332034866961351</v>
      </c>
      <c r="Q80" s="100"/>
      <c r="R80" s="44"/>
      <c r="S80" s="122">
        <f>(S77^2-S$50^2)/S76/(LOG($P$52+$S$52)+2.65)/1000</f>
        <v>3.7313372118845023</v>
      </c>
      <c r="T80" s="100"/>
      <c r="U80" s="42"/>
      <c r="V80" s="6" t="e">
        <f t="shared" si="5"/>
        <v>#N/A</v>
      </c>
      <c r="W80" s="6" t="e">
        <f t="shared" si="6"/>
        <v>#N/A</v>
      </c>
      <c r="X80" s="110" t="e">
        <f t="shared" si="7"/>
        <v>#N/A</v>
      </c>
      <c r="Y80" s="99" t="e">
        <f t="shared" si="3"/>
        <v>#N/A</v>
      </c>
      <c r="Z80" s="123" t="e">
        <f t="shared" si="8"/>
        <v>#N/A</v>
      </c>
      <c r="AA80" s="124" t="e">
        <f t="shared" si="9"/>
        <v>#N/A</v>
      </c>
      <c r="AB80" s="124" t="e">
        <f t="shared" si="10"/>
        <v>#N/A</v>
      </c>
      <c r="AC80" s="99" t="e">
        <f t="shared" si="11"/>
        <v>#N/A</v>
      </c>
      <c r="AD80" s="99" t="e">
        <f t="shared" si="4"/>
        <v>#N/A</v>
      </c>
      <c r="AE80" s="99" t="e">
        <f t="shared" si="12"/>
        <v>#N/A</v>
      </c>
      <c r="AF80" s="85"/>
      <c r="AG80" s="76"/>
      <c r="AH80" s="6"/>
    </row>
    <row r="81" spans="1:34">
      <c r="A81" s="134"/>
      <c r="B81" s="6"/>
      <c r="C81" s="6"/>
      <c r="D81" s="6"/>
      <c r="E81" s="6"/>
      <c r="F81" s="6"/>
      <c r="G81" s="6"/>
      <c r="H81" s="6"/>
      <c r="I81" s="6"/>
      <c r="J81" s="42"/>
      <c r="K81" s="41" t="s">
        <v>136</v>
      </c>
      <c r="L81" s="44"/>
      <c r="M81" s="44"/>
      <c r="N81" s="44"/>
      <c r="O81" s="44"/>
      <c r="P81" s="98" t="e">
        <f>P78*P77/SQRT(P77^2-P$50^2)</f>
        <v>#N/A</v>
      </c>
      <c r="Q81" s="100" t="str">
        <f>$L$27</f>
        <v>m3/d</v>
      </c>
      <c r="R81" s="44"/>
      <c r="S81" s="98" t="e">
        <f>S78*S77/SQRT(S77^2-S$50^2)</f>
        <v>#N/A</v>
      </c>
      <c r="T81" s="100" t="str">
        <f>$L$27</f>
        <v>m3/d</v>
      </c>
      <c r="U81" s="42"/>
      <c r="V81" s="6" t="e">
        <f t="shared" si="5"/>
        <v>#N/A</v>
      </c>
      <c r="W81" s="6" t="e">
        <f t="shared" si="6"/>
        <v>#N/A</v>
      </c>
      <c r="X81" s="110" t="e">
        <f t="shared" si="7"/>
        <v>#N/A</v>
      </c>
      <c r="Y81" s="99" t="e">
        <f t="shared" si="3"/>
        <v>#N/A</v>
      </c>
      <c r="Z81" s="123" t="e">
        <f t="shared" si="8"/>
        <v>#N/A</v>
      </c>
      <c r="AA81" s="124" t="e">
        <f t="shared" si="9"/>
        <v>#N/A</v>
      </c>
      <c r="AB81" s="124" t="e">
        <f t="shared" si="10"/>
        <v>#N/A</v>
      </c>
      <c r="AC81" s="99" t="e">
        <f t="shared" si="11"/>
        <v>#N/A</v>
      </c>
      <c r="AD81" s="99" t="e">
        <f t="shared" si="4"/>
        <v>#N/A</v>
      </c>
      <c r="AE81" s="99" t="e">
        <f t="shared" si="12"/>
        <v>#N/A</v>
      </c>
      <c r="AF81" s="85"/>
      <c r="AG81" s="76"/>
      <c r="AH81" s="6"/>
    </row>
    <row r="82" spans="1:34">
      <c r="A82" s="134"/>
      <c r="B82" s="6"/>
      <c r="C82" s="6"/>
      <c r="D82" s="6"/>
      <c r="E82" s="6"/>
      <c r="F82" s="6"/>
      <c r="G82" s="6"/>
      <c r="H82" s="6"/>
      <c r="I82" s="6"/>
      <c r="J82" s="117"/>
      <c r="K82" s="116" t="s">
        <v>137</v>
      </c>
      <c r="L82" s="118"/>
      <c r="M82" s="118"/>
      <c r="N82" s="118"/>
      <c r="O82" s="118"/>
      <c r="P82" s="119" t="e">
        <f>P78*P77^2/(P77^2-P$50^2)</f>
        <v>#N/A</v>
      </c>
      <c r="Q82" s="120" t="str">
        <f>$L$27</f>
        <v>m3/d</v>
      </c>
      <c r="R82" s="118"/>
      <c r="S82" s="119" t="e">
        <f>S78*S77^2/(S77^2-S$50^2)</f>
        <v>#N/A</v>
      </c>
      <c r="T82" s="120" t="str">
        <f>$L$27</f>
        <v>m3/d</v>
      </c>
      <c r="U82" s="117"/>
      <c r="V82" s="6" t="e">
        <f t="shared" si="5"/>
        <v>#N/A</v>
      </c>
      <c r="W82" s="6" t="e">
        <f t="shared" si="6"/>
        <v>#N/A</v>
      </c>
      <c r="X82" s="126" t="e">
        <f t="shared" si="7"/>
        <v>#N/A</v>
      </c>
      <c r="Y82" s="127" t="e">
        <f t="shared" si="3"/>
        <v>#N/A</v>
      </c>
      <c r="Z82" s="128" t="e">
        <f t="shared" si="8"/>
        <v>#N/A</v>
      </c>
      <c r="AA82" s="124" t="e">
        <f t="shared" si="9"/>
        <v>#N/A</v>
      </c>
      <c r="AB82" s="124" t="e">
        <f t="shared" si="10"/>
        <v>#N/A</v>
      </c>
      <c r="AC82" s="127" t="e">
        <f t="shared" si="11"/>
        <v>#N/A</v>
      </c>
      <c r="AD82" s="127" t="e">
        <f t="shared" si="4"/>
        <v>#N/A</v>
      </c>
      <c r="AE82" s="127" t="e">
        <f t="shared" si="12"/>
        <v>#N/A</v>
      </c>
      <c r="AF82" s="121"/>
      <c r="AG82" s="76"/>
      <c r="AH82" s="6"/>
    </row>
    <row r="83" spans="1:34">
      <c r="A83" s="134"/>
      <c r="B83" s="6"/>
      <c r="C83" s="6"/>
      <c r="D83" s="6"/>
      <c r="E83" s="6"/>
      <c r="F83" s="6"/>
      <c r="G83" s="6"/>
      <c r="H83" s="6"/>
      <c r="I83" s="6"/>
      <c r="J83" s="117"/>
      <c r="K83" s="116" t="s">
        <v>129</v>
      </c>
      <c r="L83" s="118"/>
      <c r="M83" s="118"/>
      <c r="N83" s="118"/>
      <c r="O83" s="118"/>
      <c r="P83" s="119" t="e">
        <f>((P77+$L$22)^2)/($L$20*($C$21+$L$18)*$G$20*$G$19/P79*$L$15)/1000</f>
        <v>#N/A</v>
      </c>
      <c r="Q83" s="120" t="str">
        <f>$L$27</f>
        <v>m3/d</v>
      </c>
      <c r="R83" s="118"/>
      <c r="S83" s="119" t="e">
        <f>((S77+$L$22)^2)/($L$20*($C$21+$L$18)*$G$20*$G$19/S79*$L$15)/1000</f>
        <v>#N/A</v>
      </c>
      <c r="T83" s="120" t="str">
        <f>$L$27</f>
        <v>m3/d</v>
      </c>
      <c r="U83" s="117"/>
      <c r="V83" s="6"/>
      <c r="W83" s="6"/>
      <c r="X83" s="126"/>
      <c r="Y83" s="127"/>
      <c r="Z83" s="127"/>
      <c r="AA83" s="127"/>
      <c r="AB83" s="127"/>
      <c r="AC83" s="127"/>
      <c r="AD83" s="127"/>
      <c r="AE83" s="127"/>
      <c r="AF83" s="121"/>
      <c r="AG83" s="76"/>
      <c r="AH83" s="6"/>
    </row>
    <row r="84" spans="1:34" ht="13.5" thickBot="1">
      <c r="A84" s="134"/>
      <c r="B84" s="6"/>
      <c r="C84" s="6"/>
      <c r="D84" s="6"/>
      <c r="E84" s="6"/>
      <c r="F84" s="6"/>
      <c r="G84" s="6"/>
      <c r="H84" s="6"/>
      <c r="I84" s="6"/>
      <c r="J84" s="117"/>
      <c r="K84" s="102"/>
      <c r="L84" s="97"/>
      <c r="M84" s="97"/>
      <c r="N84" s="97"/>
      <c r="O84" s="97"/>
      <c r="P84" s="97"/>
      <c r="Q84" s="97"/>
      <c r="R84" s="97"/>
      <c r="S84" s="97"/>
      <c r="T84" s="97"/>
      <c r="U84" s="103"/>
      <c r="V84" s="135"/>
      <c r="W84" s="103"/>
      <c r="X84" s="97"/>
      <c r="Y84" s="97"/>
      <c r="Z84" s="97"/>
      <c r="AA84" s="97"/>
      <c r="AB84" s="97"/>
      <c r="AC84" s="97"/>
      <c r="AD84" s="97"/>
      <c r="AE84" s="97"/>
      <c r="AF84" s="135"/>
      <c r="AG84" s="136"/>
      <c r="AH84" s="6"/>
    </row>
    <row r="85" spans="1:3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125" spans="1:1">
      <c r="A125" t="s">
        <v>138</v>
      </c>
    </row>
  </sheetData>
  <mergeCells count="1">
    <mergeCell ref="F5:H5"/>
  </mergeCells>
  <phoneticPr fontId="11" type="noConversion"/>
  <hyperlinks>
    <hyperlink ref="F5" r:id="rId1"/>
    <hyperlink ref="C10" r:id="rId2"/>
  </hyperlinks>
  <pageMargins left="2.3580000000000001" right="0.25" top="3.145" bottom="0.58199999999999996" header="0.5" footer="0.5"/>
  <pageSetup paperSize="9" orientation="portrait" horizontalDpi="360" verticalDpi="360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4metadst converted</vt:lpstr>
      <vt:lpstr>ANSWERS</vt:lpstr>
      <vt:lpstr>HEADER</vt:lpstr>
      <vt:lpstr>LOGO</vt:lpstr>
      <vt:lpstr>PARAMETERS</vt:lpstr>
      <vt:lpstr>RAW_DATA</vt:lpstr>
    </vt:vector>
  </TitlesOfParts>
  <Company>CardLead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4metadst converted to Excel w\plots</dc:title>
  <dc:creator>David Arnott</dc:creator>
  <cp:lastModifiedBy>ross</cp:lastModifiedBy>
  <cp:lastPrinted>2018-09-30T15:30:33Z</cp:lastPrinted>
  <dcterms:created xsi:type="dcterms:W3CDTF">2003-05-26T15:12:46Z</dcterms:created>
  <dcterms:modified xsi:type="dcterms:W3CDTF">2018-10-04T21:23:11Z</dcterms:modified>
</cp:coreProperties>
</file>